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00" windowWidth="16380" windowHeight="7890" tabRatio="648"/>
  </bookViews>
  <sheets>
    <sheet name="NOTAS" sheetId="1" r:id="rId1"/>
    <sheet name="VOLAT-TENDENCIA" sheetId="3" r:id="rId2"/>
    <sheet name="TRAVA BAIXA" sheetId="4" r:id="rId3"/>
    <sheet name="BORBOLETA" sheetId="5" r:id="rId4"/>
    <sheet name="TRAVA BAIXA NEW" sheetId="6" r:id="rId5"/>
    <sheet name="Plan1" sheetId="7" r:id="rId6"/>
    <sheet name="SETUP" sheetId="2" r:id="rId7"/>
  </sheets>
  <calcPr calcId="124519"/>
</workbook>
</file>

<file path=xl/calcChain.xml><?xml version="1.0" encoding="utf-8"?>
<calcChain xmlns="http://schemas.openxmlformats.org/spreadsheetml/2006/main">
  <c r="I8" i="4"/>
  <c r="J8"/>
  <c r="K8"/>
  <c r="L8"/>
  <c r="H8" s="1"/>
  <c r="M8"/>
  <c r="N8"/>
  <c r="O8"/>
  <c r="P8"/>
  <c r="I5" i="7"/>
  <c r="J5"/>
  <c r="K5"/>
  <c r="L5"/>
  <c r="M5"/>
  <c r="N5"/>
  <c r="O5"/>
  <c r="I49" i="1" l="1"/>
  <c r="J49"/>
  <c r="L49"/>
  <c r="Q49"/>
  <c r="R49"/>
  <c r="S49"/>
  <c r="U49"/>
  <c r="Y49"/>
  <c r="Z49"/>
  <c r="I48"/>
  <c r="J48"/>
  <c r="L48"/>
  <c r="Q48"/>
  <c r="R48"/>
  <c r="S48"/>
  <c r="U48"/>
  <c r="Y48"/>
  <c r="Z48"/>
  <c r="AE48"/>
  <c r="AF48"/>
  <c r="AG48"/>
  <c r="AH48"/>
  <c r="AI48"/>
  <c r="AJ48"/>
  <c r="AK48"/>
  <c r="AL48"/>
  <c r="I47"/>
  <c r="J47"/>
  <c r="L47"/>
  <c r="Q47"/>
  <c r="R47"/>
  <c r="S47"/>
  <c r="U47"/>
  <c r="Y47"/>
  <c r="Z47"/>
  <c r="AB47"/>
  <c r="I46"/>
  <c r="J46"/>
  <c r="L46"/>
  <c r="Q46"/>
  <c r="R46"/>
  <c r="S46"/>
  <c r="U46"/>
  <c r="Y46"/>
  <c r="Z46"/>
  <c r="AA46"/>
  <c r="I2" i="7"/>
  <c r="I3"/>
  <c r="I4"/>
  <c r="K2"/>
  <c r="K3"/>
  <c r="K4"/>
  <c r="N4"/>
  <c r="J4"/>
  <c r="M4"/>
  <c r="N3"/>
  <c r="J3"/>
  <c r="M3"/>
  <c r="N2"/>
  <c r="J2"/>
  <c r="M2"/>
  <c r="I7" i="4"/>
  <c r="J7"/>
  <c r="K7"/>
  <c r="L7"/>
  <c r="O7"/>
  <c r="I6"/>
  <c r="J6"/>
  <c r="K6"/>
  <c r="L6"/>
  <c r="O6"/>
  <c r="M2" i="6"/>
  <c r="L2"/>
  <c r="H4"/>
  <c r="M4" s="1"/>
  <c r="I4"/>
  <c r="K4"/>
  <c r="J4" s="1"/>
  <c r="L4" s="1"/>
  <c r="N4"/>
  <c r="N6" i="4" l="1"/>
  <c r="H6"/>
  <c r="N7"/>
  <c r="H7"/>
  <c r="M7"/>
  <c r="P7" s="1"/>
  <c r="M6"/>
  <c r="P6" s="1"/>
  <c r="L2" i="7"/>
  <c r="O2" s="1"/>
  <c r="L3"/>
  <c r="O3" s="1"/>
  <c r="L4"/>
  <c r="O4" s="1"/>
  <c r="O4" i="6"/>
  <c r="H3" l="1"/>
  <c r="M3" s="1"/>
  <c r="I3"/>
  <c r="K3"/>
  <c r="J3" s="1"/>
  <c r="L3" s="1"/>
  <c r="N3"/>
  <c r="F11" i="3"/>
  <c r="G11"/>
  <c r="H11"/>
  <c r="I11"/>
  <c r="J11"/>
  <c r="F10"/>
  <c r="G10"/>
  <c r="H10"/>
  <c r="I10"/>
  <c r="J10"/>
  <c r="O3" i="6" l="1"/>
  <c r="F9" i="3" l="1"/>
  <c r="G9"/>
  <c r="H9"/>
  <c r="I9"/>
  <c r="J9"/>
  <c r="E3"/>
  <c r="E4"/>
  <c r="E5"/>
  <c r="E6"/>
  <c r="E7"/>
  <c r="I2" i="6"/>
  <c r="H2"/>
  <c r="N2"/>
  <c r="K2" l="1"/>
  <c r="J2" s="1"/>
  <c r="O2" l="1"/>
  <c r="I51" i="1" l="1"/>
  <c r="J51"/>
  <c r="L51"/>
  <c r="Q51"/>
  <c r="R51"/>
  <c r="S51"/>
  <c r="U51"/>
  <c r="Y51"/>
  <c r="Z51"/>
  <c r="I50"/>
  <c r="J50"/>
  <c r="L50"/>
  <c r="Q50"/>
  <c r="R50"/>
  <c r="S50"/>
  <c r="U50"/>
  <c r="Y50"/>
  <c r="Z50"/>
  <c r="AE50"/>
  <c r="AF50"/>
  <c r="AG50"/>
  <c r="AH50"/>
  <c r="AI50"/>
  <c r="AJ50"/>
  <c r="AK50"/>
  <c r="AL50"/>
  <c r="I39"/>
  <c r="J39"/>
  <c r="L39"/>
  <c r="Q39"/>
  <c r="R39"/>
  <c r="S39"/>
  <c r="U39"/>
  <c r="Y39"/>
  <c r="Z39"/>
  <c r="AA39"/>
  <c r="I38"/>
  <c r="J38"/>
  <c r="L38"/>
  <c r="Q38"/>
  <c r="R38"/>
  <c r="S38"/>
  <c r="U38"/>
  <c r="Y38"/>
  <c r="Z38"/>
  <c r="AB38"/>
  <c r="AE38"/>
  <c r="AF38"/>
  <c r="AG38"/>
  <c r="AH38"/>
  <c r="AI38"/>
  <c r="AJ38"/>
  <c r="AK38"/>
  <c r="AL38"/>
  <c r="I5" i="4" l="1"/>
  <c r="J5"/>
  <c r="K5"/>
  <c r="L5"/>
  <c r="H5" s="1"/>
  <c r="O5"/>
  <c r="I45" i="1"/>
  <c r="J45"/>
  <c r="L45"/>
  <c r="Q45"/>
  <c r="R45"/>
  <c r="S45"/>
  <c r="U45"/>
  <c r="Y45"/>
  <c r="Z45"/>
  <c r="I41"/>
  <c r="J41"/>
  <c r="L41"/>
  <c r="Q41"/>
  <c r="R41"/>
  <c r="S41"/>
  <c r="U41"/>
  <c r="Y41"/>
  <c r="Z41"/>
  <c r="I37"/>
  <c r="J37"/>
  <c r="L37"/>
  <c r="Q37"/>
  <c r="R37"/>
  <c r="S37"/>
  <c r="U37"/>
  <c r="Y37"/>
  <c r="Z37"/>
  <c r="AB37"/>
  <c r="I36"/>
  <c r="J36"/>
  <c r="L36"/>
  <c r="Q36"/>
  <c r="R36"/>
  <c r="S36"/>
  <c r="U36"/>
  <c r="Y36"/>
  <c r="Z36"/>
  <c r="AA36"/>
  <c r="AE36"/>
  <c r="AF36"/>
  <c r="AG36"/>
  <c r="AH36"/>
  <c r="AI36"/>
  <c r="AJ36"/>
  <c r="AK36"/>
  <c r="AL36"/>
  <c r="F8" i="3"/>
  <c r="G8"/>
  <c r="H8"/>
  <c r="I8"/>
  <c r="J8"/>
  <c r="N5" i="4" l="1"/>
  <c r="M5"/>
  <c r="F7" i="3"/>
  <c r="G7" s="1"/>
  <c r="J7" s="1"/>
  <c r="H7"/>
  <c r="I7"/>
  <c r="I4" i="4"/>
  <c r="J4"/>
  <c r="K4" s="1"/>
  <c r="L4" s="1"/>
  <c r="H4" s="1"/>
  <c r="O4"/>
  <c r="N4" l="1"/>
  <c r="M4"/>
  <c r="P5"/>
  <c r="P4"/>
  <c r="J2" i="5"/>
  <c r="K2"/>
  <c r="L2"/>
  <c r="U2"/>
  <c r="I2" i="4"/>
  <c r="I3"/>
  <c r="O2"/>
  <c r="O3"/>
  <c r="J2"/>
  <c r="J3"/>
  <c r="F6" i="3"/>
  <c r="G6" s="1"/>
  <c r="J6" s="1"/>
  <c r="H6"/>
  <c r="M2" i="5" l="1"/>
  <c r="N2" s="1"/>
  <c r="O2" s="1"/>
  <c r="I6" i="3"/>
  <c r="F5"/>
  <c r="G5" s="1"/>
  <c r="J5" s="1"/>
  <c r="H5"/>
  <c r="I5" s="1"/>
  <c r="F4"/>
  <c r="G4" s="1"/>
  <c r="J4" s="1"/>
  <c r="H4"/>
  <c r="I4" s="1"/>
  <c r="F3"/>
  <c r="G3" s="1"/>
  <c r="H3"/>
  <c r="I3" s="1"/>
  <c r="AB33" i="1"/>
  <c r="AB32"/>
  <c r="AB30"/>
  <c r="AB28"/>
  <c r="AB25"/>
  <c r="AB22"/>
  <c r="AB21"/>
  <c r="AB20"/>
  <c r="AB17"/>
  <c r="AB16"/>
  <c r="AB12"/>
  <c r="AB11"/>
  <c r="AB9"/>
  <c r="AB7"/>
  <c r="AB4"/>
  <c r="AB3"/>
  <c r="AB2"/>
  <c r="Q2" i="5" l="1"/>
  <c r="P2"/>
  <c r="R2"/>
  <c r="S2"/>
  <c r="T2"/>
  <c r="J3" i="3"/>
  <c r="V2" i="5" l="1"/>
  <c r="K3" i="4"/>
  <c r="L3" s="1"/>
  <c r="H3" s="1"/>
  <c r="N3" l="1"/>
  <c r="M3"/>
  <c r="P3"/>
  <c r="I43" i="1" l="1"/>
  <c r="J43" s="1"/>
  <c r="L43"/>
  <c r="Y43" s="1"/>
  <c r="Q43"/>
  <c r="R43" s="1"/>
  <c r="U43"/>
  <c r="Z43"/>
  <c r="I40"/>
  <c r="J40" s="1"/>
  <c r="L40"/>
  <c r="Q40"/>
  <c r="R40" s="1"/>
  <c r="U40"/>
  <c r="Y40"/>
  <c r="Z40"/>
  <c r="I44"/>
  <c r="J44" s="1"/>
  <c r="L44"/>
  <c r="Y44" s="1"/>
  <c r="Q44"/>
  <c r="R44" s="1"/>
  <c r="U44"/>
  <c r="Z44"/>
  <c r="AE44"/>
  <c r="AF44"/>
  <c r="AH44" s="1"/>
  <c r="AG44"/>
  <c r="AI44" s="1"/>
  <c r="I34"/>
  <c r="J34" s="1"/>
  <c r="L34"/>
  <c r="Y34" s="1"/>
  <c r="Q34"/>
  <c r="R34" s="1"/>
  <c r="U34"/>
  <c r="Z34"/>
  <c r="AA34"/>
  <c r="I33"/>
  <c r="J33" s="1"/>
  <c r="L33"/>
  <c r="Q33"/>
  <c r="R33" s="1"/>
  <c r="U33"/>
  <c r="Y33"/>
  <c r="Z33"/>
  <c r="AE33"/>
  <c r="AF33"/>
  <c r="AH33" s="1"/>
  <c r="AG33"/>
  <c r="AI33" s="1"/>
  <c r="S43" l="1"/>
  <c r="S44"/>
  <c r="S40"/>
  <c r="AJ44"/>
  <c r="AK44" s="1"/>
  <c r="AL44" s="1"/>
  <c r="S34"/>
  <c r="S33"/>
  <c r="AJ33"/>
  <c r="AK33" s="1"/>
  <c r="AL33" s="1"/>
  <c r="AF2" l="1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1"/>
  <c r="AF22"/>
  <c r="AF23"/>
  <c r="AF24"/>
  <c r="AF25"/>
  <c r="AF26"/>
  <c r="AF27"/>
  <c r="AF28"/>
  <c r="AH28" s="1"/>
  <c r="AF29"/>
  <c r="AH29" s="1"/>
  <c r="AF31"/>
  <c r="AH31" s="1"/>
  <c r="AF42"/>
  <c r="AH42" s="1"/>
  <c r="I32"/>
  <c r="J32" s="1"/>
  <c r="L32"/>
  <c r="Q32"/>
  <c r="R32" s="1"/>
  <c r="U32"/>
  <c r="Y32"/>
  <c r="Z32"/>
  <c r="I31"/>
  <c r="J31" s="1"/>
  <c r="L31"/>
  <c r="Y31" s="1"/>
  <c r="Q31"/>
  <c r="R31" s="1"/>
  <c r="U31"/>
  <c r="Z31"/>
  <c r="AE31"/>
  <c r="AG31"/>
  <c r="AI31" s="1"/>
  <c r="K2" i="4"/>
  <c r="L2" s="1"/>
  <c r="H2" s="1"/>
  <c r="AA29" i="1"/>
  <c r="Y21"/>
  <c r="Y2"/>
  <c r="Y3"/>
  <c r="Y4"/>
  <c r="Y7"/>
  <c r="Y9"/>
  <c r="Y11"/>
  <c r="Y12"/>
  <c r="Y16"/>
  <c r="Y17"/>
  <c r="Y20"/>
  <c r="Y22"/>
  <c r="Y25"/>
  <c r="Y28"/>
  <c r="Y30"/>
  <c r="Y35"/>
  <c r="I42"/>
  <c r="J42" s="1"/>
  <c r="L42"/>
  <c r="Q42"/>
  <c r="R42" s="1"/>
  <c r="U42"/>
  <c r="Z42"/>
  <c r="AE42"/>
  <c r="AG42"/>
  <c r="AI42" s="1"/>
  <c r="I35"/>
  <c r="J35" s="1"/>
  <c r="L35"/>
  <c r="Q35"/>
  <c r="R35" s="1"/>
  <c r="U35"/>
  <c r="Z35"/>
  <c r="V27"/>
  <c r="I30"/>
  <c r="J30" s="1"/>
  <c r="L30"/>
  <c r="Q30"/>
  <c r="R30" s="1"/>
  <c r="U30"/>
  <c r="Z30"/>
  <c r="I29"/>
  <c r="J29" s="1"/>
  <c r="L29"/>
  <c r="Y29" s="1"/>
  <c r="Q29"/>
  <c r="R29" s="1"/>
  <c r="U29"/>
  <c r="Z29"/>
  <c r="AE29"/>
  <c r="AG29"/>
  <c r="I28"/>
  <c r="J28" s="1"/>
  <c r="L28"/>
  <c r="Q28"/>
  <c r="R28" s="1"/>
  <c r="U28"/>
  <c r="Z28"/>
  <c r="AE28"/>
  <c r="AG28"/>
  <c r="N2" i="4" l="1"/>
  <c r="M2"/>
  <c r="Y42" i="1"/>
  <c r="S32"/>
  <c r="S31"/>
  <c r="AJ31"/>
  <c r="AK31" s="1"/>
  <c r="AL31" s="1"/>
  <c r="S29"/>
  <c r="S30"/>
  <c r="AJ42"/>
  <c r="AK42" s="1"/>
  <c r="AL42" s="1"/>
  <c r="S28"/>
  <c r="AI28"/>
  <c r="AJ28" s="1"/>
  <c r="AK28" s="1"/>
  <c r="AL28" s="1"/>
  <c r="AI29"/>
  <c r="AJ29" s="1"/>
  <c r="AK29" s="1"/>
  <c r="AL29" s="1"/>
  <c r="S35"/>
  <c r="S42"/>
  <c r="F2" i="3"/>
  <c r="G2" s="1"/>
  <c r="H2"/>
  <c r="I2" s="1"/>
  <c r="J2" l="1"/>
  <c r="P2" i="4"/>
  <c r="I26" i="1"/>
  <c r="J26" s="1"/>
  <c r="L26"/>
  <c r="Y26" s="1"/>
  <c r="Q26"/>
  <c r="R26" s="1"/>
  <c r="U26"/>
  <c r="Z26"/>
  <c r="I27"/>
  <c r="J27" s="1"/>
  <c r="L27"/>
  <c r="Y27" s="1"/>
  <c r="Q27"/>
  <c r="R27" s="1"/>
  <c r="U27"/>
  <c r="Z27"/>
  <c r="AE27"/>
  <c r="AH27"/>
  <c r="AG27"/>
  <c r="AI27" s="1"/>
  <c r="I25"/>
  <c r="J25" s="1"/>
  <c r="L25"/>
  <c r="Q25"/>
  <c r="R25" s="1"/>
  <c r="U25"/>
  <c r="Z25"/>
  <c r="I24"/>
  <c r="J24" s="1"/>
  <c r="L24"/>
  <c r="Y24" s="1"/>
  <c r="Q24"/>
  <c r="S24" s="1"/>
  <c r="U24"/>
  <c r="Z24"/>
  <c r="AE24"/>
  <c r="AH24"/>
  <c r="AG24"/>
  <c r="AI24" s="1"/>
  <c r="I23"/>
  <c r="J23" s="1"/>
  <c r="L23"/>
  <c r="Y23" s="1"/>
  <c r="Q23"/>
  <c r="R23" s="1"/>
  <c r="U23"/>
  <c r="Z23"/>
  <c r="AE23"/>
  <c r="AH23"/>
  <c r="AG23"/>
  <c r="AI23" s="1"/>
  <c r="I22"/>
  <c r="J22" s="1"/>
  <c r="L22"/>
  <c r="Q22"/>
  <c r="R22" s="1"/>
  <c r="U22"/>
  <c r="Z22"/>
  <c r="AE22"/>
  <c r="AH22"/>
  <c r="AG22"/>
  <c r="AI22" s="1"/>
  <c r="I21"/>
  <c r="J21" s="1"/>
  <c r="L21"/>
  <c r="Q21"/>
  <c r="R21" s="1"/>
  <c r="U21"/>
  <c r="Z21"/>
  <c r="AE21"/>
  <c r="AH21"/>
  <c r="AG21"/>
  <c r="AI21" s="1"/>
  <c r="S26" l="1"/>
  <c r="AJ27"/>
  <c r="AK27" s="1"/>
  <c r="AL27" s="1"/>
  <c r="S27"/>
  <c r="R24"/>
  <c r="S25"/>
  <c r="AJ24"/>
  <c r="AK24" s="1"/>
  <c r="AL24" s="1"/>
  <c r="S23"/>
  <c r="AJ23"/>
  <c r="AK23" s="1"/>
  <c r="AL23" s="1"/>
  <c r="AJ22"/>
  <c r="AK22" s="1"/>
  <c r="AL22" s="1"/>
  <c r="S22"/>
  <c r="AJ21"/>
  <c r="AK21" s="1"/>
  <c r="AL21" s="1"/>
  <c r="S21"/>
  <c r="AH19"/>
  <c r="AE2"/>
  <c r="AE3"/>
  <c r="AE4"/>
  <c r="AE5"/>
  <c r="AE6"/>
  <c r="AE7"/>
  <c r="AE8"/>
  <c r="AE9"/>
  <c r="AE10"/>
  <c r="AE11"/>
  <c r="AE12"/>
  <c r="AE13"/>
  <c r="AE14"/>
  <c r="AE15"/>
  <c r="AE16"/>
  <c r="AE17"/>
  <c r="AE18"/>
  <c r="AE19"/>
  <c r="I2"/>
  <c r="I3"/>
  <c r="I4"/>
  <c r="I5"/>
  <c r="I6"/>
  <c r="I7"/>
  <c r="I8"/>
  <c r="I9"/>
  <c r="I10"/>
  <c r="I11"/>
  <c r="I12"/>
  <c r="I13"/>
  <c r="I14"/>
  <c r="I15"/>
  <c r="I16"/>
  <c r="I17"/>
  <c r="I18"/>
  <c r="J18" s="1"/>
  <c r="I19"/>
  <c r="J19" s="1"/>
  <c r="I20"/>
  <c r="J20" s="1"/>
  <c r="L20"/>
  <c r="Q20"/>
  <c r="R20" s="1"/>
  <c r="U20"/>
  <c r="Z20"/>
  <c r="L19"/>
  <c r="Y19" s="1"/>
  <c r="Q19"/>
  <c r="R19" s="1"/>
  <c r="U19"/>
  <c r="Z19"/>
  <c r="AG19"/>
  <c r="AI19" s="1"/>
  <c r="L18"/>
  <c r="Y18" s="1"/>
  <c r="Q18"/>
  <c r="R18" s="1"/>
  <c r="U18"/>
  <c r="Z18"/>
  <c r="S20" l="1"/>
  <c r="S19"/>
  <c r="AJ19"/>
  <c r="AK19" s="1"/>
  <c r="AL19" s="1"/>
  <c r="S18"/>
  <c r="J17"/>
  <c r="L17"/>
  <c r="Q17"/>
  <c r="R17" s="1"/>
  <c r="U17"/>
  <c r="Z17"/>
  <c r="S17" l="1"/>
  <c r="J16"/>
  <c r="L16"/>
  <c r="Q16"/>
  <c r="R16" s="1"/>
  <c r="U16"/>
  <c r="Z16"/>
  <c r="S16" l="1"/>
  <c r="AG2"/>
  <c r="AG3"/>
  <c r="AG4"/>
  <c r="AG5"/>
  <c r="AG6"/>
  <c r="AG7"/>
  <c r="AG8"/>
  <c r="AG9"/>
  <c r="AG10"/>
  <c r="AG11"/>
  <c r="AG12"/>
  <c r="AG13"/>
  <c r="AG14"/>
  <c r="U2" l="1"/>
  <c r="U3"/>
  <c r="U4"/>
  <c r="U6"/>
  <c r="U7"/>
  <c r="U8"/>
  <c r="U9"/>
  <c r="U11"/>
  <c r="U12"/>
  <c r="U13"/>
  <c r="U14"/>
  <c r="U15"/>
  <c r="J13"/>
  <c r="L13"/>
  <c r="Y13" s="1"/>
  <c r="Q13"/>
  <c r="S13" s="1"/>
  <c r="Z13"/>
  <c r="J14"/>
  <c r="L14"/>
  <c r="Y14" s="1"/>
  <c r="Q14"/>
  <c r="R14" s="1"/>
  <c r="Z14"/>
  <c r="J15"/>
  <c r="L15"/>
  <c r="Y15" s="1"/>
  <c r="Q15"/>
  <c r="S15" s="1"/>
  <c r="Z15"/>
  <c r="J11"/>
  <c r="L11"/>
  <c r="Q11"/>
  <c r="S11" s="1"/>
  <c r="Z11"/>
  <c r="J12"/>
  <c r="L12"/>
  <c r="Q12"/>
  <c r="S12" s="1"/>
  <c r="Z12"/>
  <c r="J9"/>
  <c r="L9"/>
  <c r="Q9"/>
  <c r="R9" s="1"/>
  <c r="Z9"/>
  <c r="J10"/>
  <c r="L10"/>
  <c r="Y10" s="1"/>
  <c r="Q10"/>
  <c r="S10" s="1"/>
  <c r="Z10"/>
  <c r="J7"/>
  <c r="L7"/>
  <c r="Q7"/>
  <c r="S7" s="1"/>
  <c r="Z7"/>
  <c r="J8"/>
  <c r="L8"/>
  <c r="Y8" s="1"/>
  <c r="Q8"/>
  <c r="S8" s="1"/>
  <c r="Z8"/>
  <c r="J6"/>
  <c r="L6"/>
  <c r="Y6" s="1"/>
  <c r="Q6"/>
  <c r="R6" s="1"/>
  <c r="Z6"/>
  <c r="A52"/>
  <c r="G52" s="1"/>
  <c r="S6" l="1"/>
  <c r="R7"/>
  <c r="R11"/>
  <c r="R8"/>
  <c r="R13"/>
  <c r="R10"/>
  <c r="S9"/>
  <c r="S14"/>
  <c r="R12"/>
  <c r="R15"/>
  <c r="J4"/>
  <c r="J5"/>
  <c r="L5"/>
  <c r="Y5" s="1"/>
  <c r="Q5"/>
  <c r="R5" s="1"/>
  <c r="Z5"/>
  <c r="L4"/>
  <c r="Q4"/>
  <c r="R4" s="1"/>
  <c r="Z4"/>
  <c r="S5" l="1"/>
  <c r="S4"/>
  <c r="J3"/>
  <c r="L3"/>
  <c r="Q3"/>
  <c r="Z3"/>
  <c r="L2"/>
  <c r="Q2"/>
  <c r="S2" s="1"/>
  <c r="Z2"/>
  <c r="K48" l="1"/>
  <c r="K49"/>
  <c r="M49"/>
  <c r="N49"/>
  <c r="O49"/>
  <c r="P49"/>
  <c r="M48"/>
  <c r="N48"/>
  <c r="O48"/>
  <c r="P48"/>
  <c r="K46"/>
  <c r="K47"/>
  <c r="M47"/>
  <c r="N47"/>
  <c r="O47"/>
  <c r="P47"/>
  <c r="M46"/>
  <c r="N46"/>
  <c r="O46"/>
  <c r="P46"/>
  <c r="K50"/>
  <c r="K51"/>
  <c r="M51"/>
  <c r="N51"/>
  <c r="O51"/>
  <c r="P51"/>
  <c r="M50"/>
  <c r="N50"/>
  <c r="O50"/>
  <c r="P50"/>
  <c r="K38"/>
  <c r="K39"/>
  <c r="M39"/>
  <c r="N39"/>
  <c r="O39"/>
  <c r="P39"/>
  <c r="M38"/>
  <c r="N38"/>
  <c r="O38"/>
  <c r="P38"/>
  <c r="K41"/>
  <c r="K45"/>
  <c r="M45"/>
  <c r="N45"/>
  <c r="O45"/>
  <c r="P45"/>
  <c r="M41"/>
  <c r="N41"/>
  <c r="O41"/>
  <c r="P41"/>
  <c r="K36"/>
  <c r="K37"/>
  <c r="M37"/>
  <c r="N37"/>
  <c r="O37"/>
  <c r="P37"/>
  <c r="M36"/>
  <c r="N36"/>
  <c r="O36"/>
  <c r="P36"/>
  <c r="N15"/>
  <c r="N31"/>
  <c r="N8"/>
  <c r="N24"/>
  <c r="N5"/>
  <c r="N21"/>
  <c r="N44"/>
  <c r="N14"/>
  <c r="N30"/>
  <c r="N3"/>
  <c r="N19"/>
  <c r="N42"/>
  <c r="N12"/>
  <c r="N28"/>
  <c r="N9"/>
  <c r="N25"/>
  <c r="N2"/>
  <c r="N18"/>
  <c r="N34"/>
  <c r="N7"/>
  <c r="N23"/>
  <c r="N43"/>
  <c r="N16"/>
  <c r="N32"/>
  <c r="N13"/>
  <c r="N29"/>
  <c r="N6"/>
  <c r="N22"/>
  <c r="N40"/>
  <c r="N11"/>
  <c r="N27"/>
  <c r="N4"/>
  <c r="N20"/>
  <c r="N35"/>
  <c r="N17"/>
  <c r="N33"/>
  <c r="N10"/>
  <c r="N26"/>
  <c r="K43"/>
  <c r="M43"/>
  <c r="P43"/>
  <c r="O43"/>
  <c r="M40"/>
  <c r="O40"/>
  <c r="P40"/>
  <c r="K44"/>
  <c r="K40"/>
  <c r="M44"/>
  <c r="O44"/>
  <c r="P44"/>
  <c r="M34"/>
  <c r="O34"/>
  <c r="P34"/>
  <c r="K33"/>
  <c r="K34"/>
  <c r="M33"/>
  <c r="P33"/>
  <c r="O33"/>
  <c r="M32"/>
  <c r="O32"/>
  <c r="P32"/>
  <c r="K31"/>
  <c r="K32"/>
  <c r="M31"/>
  <c r="O31"/>
  <c r="P31"/>
  <c r="K42"/>
  <c r="K35"/>
  <c r="M42"/>
  <c r="O42"/>
  <c r="P42"/>
  <c r="M35"/>
  <c r="O35"/>
  <c r="P35"/>
  <c r="K29"/>
  <c r="K30"/>
  <c r="M30"/>
  <c r="O30"/>
  <c r="P30"/>
  <c r="M29"/>
  <c r="O29"/>
  <c r="P29"/>
  <c r="K26"/>
  <c r="K28"/>
  <c r="M28"/>
  <c r="O28"/>
  <c r="P28"/>
  <c r="M26"/>
  <c r="P26"/>
  <c r="O26"/>
  <c r="K25"/>
  <c r="K27"/>
  <c r="M27"/>
  <c r="P27"/>
  <c r="O27"/>
  <c r="M25"/>
  <c r="P25"/>
  <c r="O25"/>
  <c r="K23"/>
  <c r="K24"/>
  <c r="O24"/>
  <c r="P24"/>
  <c r="M24"/>
  <c r="O23"/>
  <c r="P23"/>
  <c r="M23"/>
  <c r="O22"/>
  <c r="P22"/>
  <c r="M22"/>
  <c r="K21"/>
  <c r="K22"/>
  <c r="O21"/>
  <c r="P21"/>
  <c r="M21"/>
  <c r="K20"/>
  <c r="M20"/>
  <c r="P20"/>
  <c r="O20"/>
  <c r="M19"/>
  <c r="P19"/>
  <c r="O19"/>
  <c r="K18"/>
  <c r="K19"/>
  <c r="M18"/>
  <c r="P18"/>
  <c r="O18"/>
  <c r="K17"/>
  <c r="P17"/>
  <c r="M17"/>
  <c r="O17"/>
  <c r="K16"/>
  <c r="M16"/>
  <c r="P16"/>
  <c r="O16"/>
  <c r="K13"/>
  <c r="K14"/>
  <c r="K15"/>
  <c r="M13"/>
  <c r="O13"/>
  <c r="P13"/>
  <c r="M14"/>
  <c r="O14"/>
  <c r="P14"/>
  <c r="M15"/>
  <c r="O15"/>
  <c r="P15"/>
  <c r="K11"/>
  <c r="K12"/>
  <c r="M11"/>
  <c r="O11"/>
  <c r="P11"/>
  <c r="M12"/>
  <c r="O12"/>
  <c r="P12"/>
  <c r="K9"/>
  <c r="K10"/>
  <c r="M9"/>
  <c r="O9"/>
  <c r="P9"/>
  <c r="M10"/>
  <c r="O10"/>
  <c r="P10"/>
  <c r="K7"/>
  <c r="K8"/>
  <c r="M7"/>
  <c r="O7"/>
  <c r="P7"/>
  <c r="M8"/>
  <c r="O8"/>
  <c r="P8"/>
  <c r="K6"/>
  <c r="M6"/>
  <c r="O6"/>
  <c r="P6"/>
  <c r="P4"/>
  <c r="O5"/>
  <c r="P2"/>
  <c r="O3"/>
  <c r="P3"/>
  <c r="O4"/>
  <c r="P5"/>
  <c r="O2"/>
  <c r="R3"/>
  <c r="S3"/>
  <c r="K5"/>
  <c r="M5"/>
  <c r="J2"/>
  <c r="R2"/>
  <c r="T49" l="1"/>
  <c r="T48"/>
  <c r="T47"/>
  <c r="T46"/>
  <c r="T51"/>
  <c r="T50"/>
  <c r="T39"/>
  <c r="T38"/>
  <c r="T45"/>
  <c r="T41"/>
  <c r="T37"/>
  <c r="T36"/>
  <c r="T43"/>
  <c r="T40"/>
  <c r="T44"/>
  <c r="T34"/>
  <c r="T33"/>
  <c r="T32"/>
  <c r="T31"/>
  <c r="T35"/>
  <c r="T42"/>
  <c r="T30"/>
  <c r="T29"/>
  <c r="T28"/>
  <c r="T27"/>
  <c r="T26"/>
  <c r="T25"/>
  <c r="T24"/>
  <c r="T23"/>
  <c r="T22"/>
  <c r="T21"/>
  <c r="AG18"/>
  <c r="T20"/>
  <c r="T19"/>
  <c r="T18"/>
  <c r="T17"/>
  <c r="T16"/>
  <c r="T15"/>
  <c r="T14"/>
  <c r="T13"/>
  <c r="T12"/>
  <c r="T11"/>
  <c r="T10"/>
  <c r="T9"/>
  <c r="T8"/>
  <c r="T7"/>
  <c r="T6"/>
  <c r="T5"/>
  <c r="K4"/>
  <c r="K3"/>
  <c r="K2"/>
  <c r="U5" l="1"/>
  <c r="U10"/>
  <c r="AI18"/>
  <c r="AH18"/>
  <c r="M4"/>
  <c r="M3"/>
  <c r="T3" s="1"/>
  <c r="M2"/>
  <c r="V49" l="1"/>
  <c r="V48"/>
  <c r="V47"/>
  <c r="V46"/>
  <c r="V51"/>
  <c r="V50"/>
  <c r="V39"/>
  <c r="V38"/>
  <c r="V45"/>
  <c r="V41"/>
  <c r="V36"/>
  <c r="V37"/>
  <c r="V43"/>
  <c r="V44"/>
  <c r="V40"/>
  <c r="V34"/>
  <c r="V33"/>
  <c r="V32"/>
  <c r="V31"/>
  <c r="V8"/>
  <c r="V16"/>
  <c r="V29"/>
  <c r="V12"/>
  <c r="V24"/>
  <c r="V7"/>
  <c r="V20"/>
  <c r="V23"/>
  <c r="V15"/>
  <c r="V11"/>
  <c r="V6"/>
  <c r="V26"/>
  <c r="V22"/>
  <c r="V18"/>
  <c r="V14"/>
  <c r="V9"/>
  <c r="V10"/>
  <c r="V28"/>
  <c r="V19"/>
  <c r="V3"/>
  <c r="V30"/>
  <c r="V25"/>
  <c r="V21"/>
  <c r="V17"/>
  <c r="V13"/>
  <c r="V5"/>
  <c r="V42"/>
  <c r="V35"/>
  <c r="AJ18"/>
  <c r="AK18" s="1"/>
  <c r="AL18" s="1"/>
  <c r="T4"/>
  <c r="V4" s="1"/>
  <c r="T2"/>
  <c r="Y52"/>
  <c r="V2" l="1"/>
  <c r="W48" l="1"/>
  <c r="X48" s="1"/>
  <c r="AB48" s="1"/>
  <c r="W49"/>
  <c r="X49" s="1"/>
  <c r="AA49" s="1"/>
  <c r="W46"/>
  <c r="X46" s="1"/>
  <c r="W47"/>
  <c r="X47" s="1"/>
  <c r="W50"/>
  <c r="X50" s="1"/>
  <c r="AB50" s="1"/>
  <c r="W51"/>
  <c r="X51" s="1"/>
  <c r="AA51" s="1"/>
  <c r="W38"/>
  <c r="X38" s="1"/>
  <c r="W39"/>
  <c r="X39" s="1"/>
  <c r="W41"/>
  <c r="X41" s="1"/>
  <c r="W45"/>
  <c r="X45" s="1"/>
  <c r="W36"/>
  <c r="X36" s="1"/>
  <c r="W37"/>
  <c r="X37" s="1"/>
  <c r="W40"/>
  <c r="X40" s="1"/>
  <c r="W43"/>
  <c r="X43" s="1"/>
  <c r="AB43" s="1"/>
  <c r="W34"/>
  <c r="X34" s="1"/>
  <c r="W44"/>
  <c r="X44" s="1"/>
  <c r="AB44" s="1"/>
  <c r="W32"/>
  <c r="X32" s="1"/>
  <c r="W33"/>
  <c r="X33" s="1"/>
  <c r="W30"/>
  <c r="X30" s="1"/>
  <c r="W31"/>
  <c r="X31" s="1"/>
  <c r="AB31" s="1"/>
  <c r="W14"/>
  <c r="X14" s="1"/>
  <c r="AB14" s="1"/>
  <c r="W18"/>
  <c r="X18" s="1"/>
  <c r="AB18" s="1"/>
  <c r="W6"/>
  <c r="X6" s="1"/>
  <c r="AB6" s="1"/>
  <c r="W22"/>
  <c r="X22" s="1"/>
  <c r="W3"/>
  <c r="X3" s="1"/>
  <c r="W10"/>
  <c r="X10" s="1"/>
  <c r="AB10" s="1"/>
  <c r="W27"/>
  <c r="X27" s="1"/>
  <c r="AB27" s="1"/>
  <c r="W4"/>
  <c r="X4" s="1"/>
  <c r="W12"/>
  <c r="X12" s="1"/>
  <c r="W19"/>
  <c r="X19" s="1"/>
  <c r="AB19" s="1"/>
  <c r="W26"/>
  <c r="X26" s="1"/>
  <c r="AB26" s="1"/>
  <c r="W2"/>
  <c r="W7"/>
  <c r="X7" s="1"/>
  <c r="W11"/>
  <c r="X11" s="1"/>
  <c r="W16"/>
  <c r="X16" s="1"/>
  <c r="W20"/>
  <c r="X20" s="1"/>
  <c r="W24"/>
  <c r="X24" s="1"/>
  <c r="AB24" s="1"/>
  <c r="W29"/>
  <c r="X29" s="1"/>
  <c r="W8"/>
  <c r="X8" s="1"/>
  <c r="AB8" s="1"/>
  <c r="W13"/>
  <c r="X13" s="1"/>
  <c r="AB13" s="1"/>
  <c r="W23"/>
  <c r="X23" s="1"/>
  <c r="AB23" s="1"/>
  <c r="W5"/>
  <c r="X5" s="1"/>
  <c r="AB5" s="1"/>
  <c r="W9"/>
  <c r="X9" s="1"/>
  <c r="W15"/>
  <c r="X15" s="1"/>
  <c r="AB15" s="1"/>
  <c r="W17"/>
  <c r="X17" s="1"/>
  <c r="W21"/>
  <c r="X21" s="1"/>
  <c r="W25"/>
  <c r="X25" s="1"/>
  <c r="W28"/>
  <c r="X28" s="1"/>
  <c r="W42"/>
  <c r="X42" s="1"/>
  <c r="AB42" s="1"/>
  <c r="W35"/>
  <c r="X35" s="1"/>
  <c r="AB49" l="1"/>
  <c r="AC49"/>
  <c r="AA48"/>
  <c r="AC48" s="1"/>
  <c r="AA47"/>
  <c r="AC47" s="1"/>
  <c r="AD47" s="1"/>
  <c r="AB46"/>
  <c r="AC46" s="1"/>
  <c r="AD46" s="1"/>
  <c r="AB51"/>
  <c r="AC51"/>
  <c r="AA50"/>
  <c r="AC50" s="1"/>
  <c r="AB39"/>
  <c r="AC39" s="1"/>
  <c r="AD39" s="1"/>
  <c r="AA38"/>
  <c r="AC38" s="1"/>
  <c r="AD38" s="1"/>
  <c r="AB45"/>
  <c r="AA41"/>
  <c r="AA45"/>
  <c r="AC45" s="1"/>
  <c r="AB41"/>
  <c r="AC41" s="1"/>
  <c r="AA37"/>
  <c r="AC37" s="1"/>
  <c r="AD37" s="1"/>
  <c r="AB36"/>
  <c r="AC36" s="1"/>
  <c r="AD36" s="1"/>
  <c r="X2"/>
  <c r="AB29"/>
  <c r="AC29" s="1"/>
  <c r="AB35"/>
  <c r="AB40"/>
  <c r="AB34"/>
  <c r="AC34" s="1"/>
  <c r="AA40"/>
  <c r="AA43"/>
  <c r="AC43" s="1"/>
  <c r="AA44"/>
  <c r="AC44" s="1"/>
  <c r="AA33"/>
  <c r="AC33" s="1"/>
  <c r="AA32"/>
  <c r="AC32" s="1"/>
  <c r="AA31"/>
  <c r="AC31" s="1"/>
  <c r="AA2"/>
  <c r="AC2" s="1"/>
  <c r="AA42"/>
  <c r="AC42" s="1"/>
  <c r="AA30"/>
  <c r="AC30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AA20"/>
  <c r="AC20" s="1"/>
  <c r="AA19"/>
  <c r="AC19" s="1"/>
  <c r="AA18"/>
  <c r="AC18" s="1"/>
  <c r="AA17"/>
  <c r="AC17" s="1"/>
  <c r="AA16"/>
  <c r="AC16" s="1"/>
  <c r="AA15"/>
  <c r="AC15" s="1"/>
  <c r="AA14"/>
  <c r="AC14" s="1"/>
  <c r="AA13"/>
  <c r="AC13" s="1"/>
  <c r="AA12"/>
  <c r="AC12" s="1"/>
  <c r="AA11"/>
  <c r="AC11" s="1"/>
  <c r="AA10"/>
  <c r="AC10" s="1"/>
  <c r="AA9"/>
  <c r="AC9" s="1"/>
  <c r="AA8"/>
  <c r="AC8" s="1"/>
  <c r="AA7"/>
  <c r="AC7" s="1"/>
  <c r="AA6"/>
  <c r="AC6" s="1"/>
  <c r="AA5"/>
  <c r="AC5" s="1"/>
  <c r="AA4"/>
  <c r="AC4" s="1"/>
  <c r="AA3"/>
  <c r="AC3" s="1"/>
  <c r="AA35"/>
  <c r="AG25"/>
  <c r="AI25" s="1"/>
  <c r="AI9"/>
  <c r="AI13"/>
  <c r="AI4"/>
  <c r="AI5"/>
  <c r="AI2"/>
  <c r="AI7"/>
  <c r="AI6"/>
  <c r="AI11"/>
  <c r="AI10"/>
  <c r="AI14"/>
  <c r="AI3"/>
  <c r="AH13"/>
  <c r="AI12"/>
  <c r="AH3"/>
  <c r="AC35" l="1"/>
  <c r="AC40"/>
  <c r="AD21"/>
  <c r="AD29"/>
  <c r="AD34"/>
  <c r="AG26"/>
  <c r="AI26" s="1"/>
  <c r="AE26"/>
  <c r="AE25"/>
  <c r="AH17"/>
  <c r="AG17"/>
  <c r="AG16"/>
  <c r="AH16"/>
  <c r="AG15"/>
  <c r="AH15"/>
  <c r="AI8"/>
  <c r="AH14"/>
  <c r="AJ14" s="1"/>
  <c r="AK14" s="1"/>
  <c r="AL14" s="1"/>
  <c r="AH4"/>
  <c r="AJ4" s="1"/>
  <c r="AK4" s="1"/>
  <c r="AL4" s="1"/>
  <c r="AH7"/>
  <c r="AJ7" s="1"/>
  <c r="AK7" s="1"/>
  <c r="AL7" s="1"/>
  <c r="AH8"/>
  <c r="AH5"/>
  <c r="AJ5" s="1"/>
  <c r="AK5" s="1"/>
  <c r="AL5" s="1"/>
  <c r="AH12"/>
  <c r="AJ12" s="1"/>
  <c r="AK12" s="1"/>
  <c r="AL12" s="1"/>
  <c r="AH10"/>
  <c r="AJ10" s="1"/>
  <c r="AK10" s="1"/>
  <c r="AL10" s="1"/>
  <c r="AH2"/>
  <c r="AJ2" s="1"/>
  <c r="AK2" s="1"/>
  <c r="AL2" s="1"/>
  <c r="AH9"/>
  <c r="AJ9" s="1"/>
  <c r="AK9" s="1"/>
  <c r="AL9" s="1"/>
  <c r="AH11"/>
  <c r="AJ11" s="1"/>
  <c r="AK11" s="1"/>
  <c r="AL11" s="1"/>
  <c r="AH6"/>
  <c r="AJ6" s="1"/>
  <c r="AK6" s="1"/>
  <c r="AL6" s="1"/>
  <c r="AJ3"/>
  <c r="AK3" s="1"/>
  <c r="AL3" s="1"/>
  <c r="AJ13"/>
  <c r="AK13" s="1"/>
  <c r="AL13" s="1"/>
  <c r="AD48" l="1"/>
  <c r="AD49"/>
  <c r="AD50"/>
  <c r="AD51"/>
  <c r="AD41"/>
  <c r="AD45"/>
  <c r="AD25"/>
  <c r="AD28"/>
  <c r="AD12"/>
  <c r="AD2"/>
  <c r="AD9"/>
  <c r="AD11"/>
  <c r="AD17"/>
  <c r="AD20"/>
  <c r="AD4"/>
  <c r="AD7"/>
  <c r="AD22"/>
  <c r="AD30"/>
  <c r="AD33"/>
  <c r="AD16"/>
  <c r="AD32"/>
  <c r="AD3"/>
  <c r="AD43"/>
  <c r="AD40"/>
  <c r="AD44"/>
  <c r="AD31"/>
  <c r="AD42"/>
  <c r="AD27"/>
  <c r="AD26"/>
  <c r="AD24"/>
  <c r="AD23"/>
  <c r="AD19"/>
  <c r="AD18"/>
  <c r="AD15"/>
  <c r="AD14"/>
  <c r="AD13"/>
  <c r="AD10"/>
  <c r="AD8"/>
  <c r="AD6"/>
  <c r="AD5"/>
  <c r="AD35"/>
  <c r="AH26"/>
  <c r="AJ26" s="1"/>
  <c r="AK26" s="1"/>
  <c r="AL26" s="1"/>
  <c r="AH25"/>
  <c r="AJ25" s="1"/>
  <c r="AK25" s="1"/>
  <c r="AL25" s="1"/>
  <c r="AI16"/>
  <c r="AI15"/>
  <c r="AJ15" s="1"/>
  <c r="AK15" s="1"/>
  <c r="AL15" s="1"/>
  <c r="AI17"/>
  <c r="AJ8"/>
  <c r="AK8" s="1"/>
  <c r="AL8" s="1"/>
  <c r="AE49" l="1"/>
  <c r="AG49"/>
  <c r="AI49" s="1"/>
  <c r="AE47"/>
  <c r="AG47"/>
  <c r="AI47" s="1"/>
  <c r="AE46"/>
  <c r="AG46"/>
  <c r="AI46" s="1"/>
  <c r="AE41"/>
  <c r="AG41"/>
  <c r="AI41" s="1"/>
  <c r="AE39"/>
  <c r="AG39"/>
  <c r="AI39" s="1"/>
  <c r="AE51"/>
  <c r="AG51"/>
  <c r="AI51" s="1"/>
  <c r="AE45"/>
  <c r="AG45"/>
  <c r="AI45" s="1"/>
  <c r="AE37"/>
  <c r="AG37"/>
  <c r="AI37" s="1"/>
  <c r="AE40"/>
  <c r="AG40"/>
  <c r="AI40" s="1"/>
  <c r="AG35"/>
  <c r="AI35" s="1"/>
  <c r="AE35"/>
  <c r="AE43"/>
  <c r="AG43"/>
  <c r="AI43" s="1"/>
  <c r="AE34"/>
  <c r="AG34"/>
  <c r="AI34" s="1"/>
  <c r="AE32"/>
  <c r="AG32"/>
  <c r="AI32" s="1"/>
  <c r="AD52"/>
  <c r="H52" s="1"/>
  <c r="AG30"/>
  <c r="AI30" s="1"/>
  <c r="AE30"/>
  <c r="AE20"/>
  <c r="AG20"/>
  <c r="AI20" s="1"/>
  <c r="AJ16"/>
  <c r="AK16" s="1"/>
  <c r="AL16" s="1"/>
  <c r="AJ17"/>
  <c r="AK17" s="1"/>
  <c r="AL17" s="1"/>
  <c r="AF49" l="1"/>
  <c r="AH49" s="1"/>
  <c r="AJ49" s="1"/>
  <c r="AK49" s="1"/>
  <c r="AL49" s="1"/>
  <c r="AF47"/>
  <c r="AH47" s="1"/>
  <c r="AJ47" s="1"/>
  <c r="AK47" s="1"/>
  <c r="AL47" s="1"/>
  <c r="AF46"/>
  <c r="AH46" s="1"/>
  <c r="AJ46" s="1"/>
  <c r="AK46" s="1"/>
  <c r="AL46"/>
  <c r="AF41"/>
  <c r="AH41" s="1"/>
  <c r="AJ41" s="1"/>
  <c r="AK41" s="1"/>
  <c r="AL41" s="1"/>
  <c r="AF39"/>
  <c r="AH39" s="1"/>
  <c r="AJ39" s="1"/>
  <c r="AK39" s="1"/>
  <c r="AL39"/>
  <c r="AF51"/>
  <c r="AH51" s="1"/>
  <c r="AJ51" s="1"/>
  <c r="AK51" s="1"/>
  <c r="AL51"/>
  <c r="AF45"/>
  <c r="AH45" s="1"/>
  <c r="AJ45" s="1"/>
  <c r="AK45" s="1"/>
  <c r="AL45"/>
  <c r="AF37"/>
  <c r="AH37" s="1"/>
  <c r="AJ37" s="1"/>
  <c r="AK37" s="1"/>
  <c r="AL37"/>
  <c r="AF40"/>
  <c r="AH40" s="1"/>
  <c r="AJ40" s="1"/>
  <c r="AK40" s="1"/>
  <c r="AL40" s="1"/>
  <c r="AF35"/>
  <c r="AH35" s="1"/>
  <c r="AJ35" s="1"/>
  <c r="AK35" s="1"/>
  <c r="AL35" s="1"/>
  <c r="AF43"/>
  <c r="AH43" s="1"/>
  <c r="AJ43" s="1"/>
  <c r="AK43" s="1"/>
  <c r="AL43" s="1"/>
  <c r="AF34"/>
  <c r="AH34" s="1"/>
  <c r="AJ34" s="1"/>
  <c r="AK34" s="1"/>
  <c r="AL34" s="1"/>
  <c r="AF30"/>
  <c r="AH30" s="1"/>
  <c r="AJ30" s="1"/>
  <c r="AK30" s="1"/>
  <c r="AL30" s="1"/>
  <c r="AF20"/>
  <c r="AH20" s="1"/>
  <c r="AJ20" s="1"/>
  <c r="AK20" s="1"/>
  <c r="AL20" s="1"/>
  <c r="AF32"/>
  <c r="AH32" s="1"/>
  <c r="AJ32" s="1"/>
  <c r="AK32" s="1"/>
  <c r="AL32" s="1"/>
  <c r="AL52" l="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<sst xmlns="http://schemas.openxmlformats.org/spreadsheetml/2006/main" count="320" uniqueCount="128">
  <si>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</si>
  <si>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</si>
  <si>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</si>
  <si>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</si>
  <si>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</si>
  <si>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</si>
  <si>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</si>
  <si>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</si>
  <si>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</si>
  <si>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</si>
  <si>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</si>
  <si>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</si>
  <si>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</si>
  <si>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</si>
  <si>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</si>
  <si>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</si>
  <si>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</si>
  <si>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</si>
  <si>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</si>
  <si>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</si>
  <si>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</si>
  <si>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</si>
  <si>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</si>
  <si>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</si>
  <si>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</si>
  <si>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</si>
  <si>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</si>
  <si>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</si>
  <si>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</si>
  <si>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</si>
  <si>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</si>
  <si>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</si>
  <si>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</si>
  <si>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</si>
  <si>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</si>
  <si>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</si>
  <si>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</si>
  <si>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</si>
  <si>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</si>
  <si>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</si>
  <si>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</si>
  <si>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</si>
  <si>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</si>
  <si>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</si>
  <si>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</si>
  <si>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</si>
  <si>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</si>
  <si>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IR DEVIDO DT</t>
  </si>
  <si>
    <t>LUCRO P/ OP</t>
  </si>
  <si>
    <t>IR DEVIDO</t>
  </si>
  <si>
    <t>RESGATE</t>
  </si>
  <si>
    <t>LUCRO TRIB. DT</t>
  </si>
  <si>
    <t>LUCRO LÍQUIDO</t>
  </si>
  <si>
    <t>U</t>
  </si>
  <si>
    <t>OGXPD17</t>
  </si>
  <si>
    <t>BVMFD12</t>
  </si>
  <si>
    <t>OGXPD16</t>
  </si>
  <si>
    <t>LUCRO [N]</t>
  </si>
  <si>
    <t xml:space="preserve"> TRIB. [N]</t>
  </si>
  <si>
    <t>IR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</si>
  <si>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</si>
  <si>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</si>
  <si>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</si>
  <si>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</si>
  <si>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</si>
  <si>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</si>
  <si>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</si>
  <si>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</si>
  <si>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</si>
  <si>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</si>
  <si>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</si>
  <si>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</si>
  <si>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</si>
  <si>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</si>
  <si>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</si>
  <si>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</si>
  <si>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</si>
  <si>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</si>
  <si>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</si>
  <si>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</si>
  <si>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</si>
  <si>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</si>
  <si>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</si>
  <si>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</si>
  <si>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</si>
  <si>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</si>
  <si>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</si>
  <si>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</si>
  <si>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</si>
  <si>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</si>
  <si>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</si>
  <si>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VALEE40</t>
  </si>
  <si>
    <t>VALEE42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</si>
  <si>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</si>
  <si>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</si>
  <si>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</si>
  <si>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</si>
  <si>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</si>
  <si>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</si>
  <si>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</si>
  <si>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</si>
  <si>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</si>
  <si>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</si>
  <si>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</si>
  <si>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</si>
  <si>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</si>
  <si>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</si>
  <si>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T. VD</t>
  </si>
  <si>
    <t>TOT.  CP</t>
  </si>
  <si>
    <t>PETREE19</t>
  </si>
  <si>
    <t>QTDE VD</t>
  </si>
  <si>
    <t>PERDA</t>
  </si>
  <si>
    <t>OGXP3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</si>
  <si>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</si>
  <si>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</si>
  <si>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</si>
  <si>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</si>
  <si>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</si>
  <si>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</si>
  <si>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</si>
  <si>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</si>
  <si>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</si>
  <si>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</si>
  <si>
    <t>PETREF21</t>
  </si>
  <si>
    <t>BVMFF10</t>
  </si>
  <si>
    <t>PETRF20</t>
  </si>
  <si>
    <t>PETRF21</t>
  </si>
  <si>
    <t>VOLUME</t>
  </si>
</sst>
</file>

<file path=xl/styles.xml><?xml version="1.0" encoding="utf-8"?>
<styleSheet xmlns="http://schemas.openxmlformats.org/spreadsheetml/2006/main">
  <numFmts count="8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</numFmts>
  <fonts count="1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scheme val="minor"/>
    </font>
    <font>
      <sz val="8"/>
      <color rgb="FFFF0000"/>
      <name val="Calibri"/>
      <family val="2"/>
      <scheme val="minor"/>
    </font>
    <font>
      <sz val="8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0" fontId="3" fillId="0" borderId="0" xfId="0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164" fontId="8" fillId="0" borderId="0" xfId="1" applyFont="1"/>
    <xf numFmtId="164" fontId="8" fillId="0" borderId="0" xfId="1" applyNumberFormat="1" applyFont="1"/>
    <xf numFmtId="0" fontId="8" fillId="0" borderId="0" xfId="1" applyNumberFormat="1" applyFont="1"/>
    <xf numFmtId="10" fontId="8" fillId="0" borderId="0" xfId="2" applyNumberFormat="1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71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0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71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0" fontId="8" fillId="0" borderId="0" xfId="0" applyFont="1" applyAlignment="1"/>
    <xf numFmtId="164" fontId="10" fillId="0" borderId="0" xfId="0" applyNumberFormat="1" applyFont="1" applyAlignment="1"/>
    <xf numFmtId="0" fontId="8" fillId="0" borderId="0" xfId="0" applyFont="1" applyAlignment="1">
      <alignment vertical="top"/>
    </xf>
    <xf numFmtId="164" fontId="8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2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NC" displayName="NC" ref="A1:AL52" totalsRowCount="1" headerRowDxfId="243" dataDxfId="242" totalsRowDxfId="241">
  <autoFilter ref="A1:AL51"/>
  <sortState ref="A2:AL51">
    <sortCondition ref="E1:E49"/>
  </sortState>
  <tableColumns count="38">
    <tableColumn id="19" name="ID" totalsRowFunction="max" dataDxfId="240" totalsRowDxfId="37"/>
    <tableColumn id="36" name="U" dataDxfId="239" totalsRowDxfId="36"/>
    <tableColumn id="2" name="ATIVO" dataDxfId="238" totalsRowDxfId="35"/>
    <tableColumn id="3" name="T" dataDxfId="237" totalsRowDxfId="34"/>
    <tableColumn id="4" name="DATA" dataDxfId="236" totalsRowDxfId="33"/>
    <tableColumn id="5" name="QTDE" dataDxfId="235" totalsRowDxfId="32"/>
    <tableColumn id="6" name="PREÇO" totalsRowFunction="custom" dataDxfId="234" totalsRowDxfId="31">
      <totalsRowFormula>NC[[#Totals],[ID]]*14.9</totalsRowFormula>
    </tableColumn>
    <tableColumn id="7" name="[D/N]" totalsRowFunction="custom" dataDxfId="233" totalsRowDxfId="30">
      <totalsRowFormula>NC[[#Totals],[LUCRO P/ OP]]+NC[[#Totals],[PREÇO]]</totalsRowFormula>
    </tableColumn>
    <tableColumn id="34" name="DATA DE LIQUIDAÇÃO" dataDxfId="232" totalsRowDxfId="29">
      <calculatedColumnFormula>WORKDAY(NC[[#This Row],[DATA]],1,0)</calculatedColumnFormula>
    </tableColumn>
    <tableColumn id="31" name="DATA BASE" dataDxfId="231" totalsRowDxfId="28">
      <calculatedColumnFormula>EOMONTH(NC[[#This Row],[DATA DE LIQUIDAÇÃO]],0)</calculatedColumnFormula>
    </tableColumn>
    <tableColumn id="21" name="PAR" dataDxfId="230" totalsRowDxfId="27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229" totalsRowDxfId="26">
      <calculatedColumnFormula>[QTDE]*[PREÇO]</calculatedColumnFormula>
    </tableColumn>
    <tableColumn id="9" name="VALOR LÍQUIDO DAS OPERAÇÕES" dataDxfId="228" totalsRowDxfId="25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227" totalsRowDxfId="24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226" totalsRowDxfId="23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225" totalsRowDxfId="22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12" name="CORRETAGEM" dataDxfId="224" totalsRowDxfId="21">
      <calculatedColumnFormula>SETUP!$E$3*SUMPRODUCT(N([DATA]=NC[[#This Row],[DATA]]),N([ID]&lt;=NC[[#This Row],[ID]]))</calculatedColumnFormula>
    </tableColumn>
    <tableColumn id="13" name="ISS" dataDxfId="223" totalsRowDxfId="20">
      <calculatedColumnFormula>TRUNC([CORRETAGEM]*SETUP!$F$3,2)</calculatedColumnFormula>
    </tableColumn>
    <tableColumn id="15" name="OUTRAS BOVESPA" dataDxfId="222" totalsRowDxfId="19">
      <calculatedColumnFormula>ROUND([CORRETAGEM]*SETUP!$G$3,2)</calculatedColumnFormula>
    </tableColumn>
    <tableColumn id="16" name="LÍQUIDO BASE" dataDxfId="221" totalsRowDxfId="18">
      <calculatedColumnFormula>[VALOR LÍQUIDO DAS OPERAÇÕES]-[TAXA DE LIQUIDAÇÃO]-[EMOLUMENTOS]-[TAXA DE REGISTRO]-[CORRETAGEM]-[ISS]-IF(['[D/N']]="D",    0,    [OUTRAS BOVESPA])</calculatedColumnFormula>
    </tableColumn>
    <tableColumn id="33" name="IRRF FONTE" dataDxfId="220" totalsRowDxfId="17">
      <calculatedColumnFormula>IF(AND(['[D/N']]="D",    [T]="CV"),    ROUND([LÍQUIDO BASE]*0.01, 2),    0)</calculatedColumnFormula>
    </tableColumn>
    <tableColumn id="35" name="LÍQUIDO" dataDxfId="219" totalsRowDxfId="16">
      <calculatedColumnFormula>IF([PREÇO] &gt; 0,    [LÍQUIDO BASE]-SUMPRODUCT(N([DATA]=NC[[#This Row],[DATA]]),    [IRRF FONTE]),    0)</calculatedColumnFormula>
    </tableColumn>
    <tableColumn id="17" name="VALOR OP" dataDxfId="218" totalsRowDxfId="15" dataCellStyle="Moeda">
      <calculatedColumnFormula>[LÍQUIDO]-SUMPRODUCT(N([DATA]=NC[[#This Row],[DATA]]),N([ID]=(NC[[#This Row],[ID]]-1)),[LÍQUIDO])</calculatedColumnFormula>
    </tableColumn>
    <tableColumn id="18" name="MEDIO P/ OP" dataDxfId="217" totalsRowDxfId="14">
      <calculatedColumnFormula>IF([T] = "VC", ABS([VALOR OP]) / [QTDE], [VALOR OP]/[QTDE])</calculatedColumnFormula>
    </tableColumn>
    <tableColumn id="20" name="IRRF" totalsRowFunction="sum" dataDxfId="216" totalsRowDxfId="13">
      <calculatedColumnFormula>TRUNC(IF(OR([T]="CV",[T]="VV"),     L2*SETUP!$H$3,     0),2)</calculatedColumnFormula>
    </tableColumn>
    <tableColumn id="24" name="SALDO" dataDxfId="215" totalsRowDxfId="12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14" totalsRowDxfId="11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13" totalsRowDxfId="10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12" totalsRowDxfId="9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11" totalsRowDxfId="8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10" totalsRowDxfId="7">
      <calculatedColumnFormula>IF([U] = "U", SUMPRODUCT(N([ID]&lt;=NC[[#This Row],[ID]]),N([DATA BASE]=NC[[#This Row],[DATA BASE]]), N(['[D/N']] = "N"),    [LUCRO P/ OP]), 0)</calculatedColumnFormula>
    </tableColumn>
    <tableColumn id="37" name=" TRIB. [N]" dataDxfId="209" totalsRowDxfId="6">
      <calculatedColumnFormula>IF([U] = "U",[LUCRO '[N']] + SUMPRODUCT(N(MONTH([DATA BASE])&lt;MONTH(NC[[#This Row],[DATA BASE]]) ), [LUCRO '[N']]),0)</calculatedColumnFormula>
    </tableColumn>
    <tableColumn id="39" name="LUCRO TRIB. DT" dataDxfId="208" totalsRowDxfId="5">
      <calculatedColumnFormula>IF([U] = "U", SUMPRODUCT(N([DATA BASE]=NC[[#This Row],[DATA BASE]]), N(['[D/N']] = "D"),    [LUCRO P/ OP]), 0)</calculatedColumnFormula>
    </tableColumn>
    <tableColumn id="32" name="IR [N]" dataDxfId="207" totalsRowDxfId="4" dataCellStyle="Moeda">
      <calculatedColumnFormula>IF([ TRIB. '[N']] &gt; 0,     ROUND([ TRIB. '[N']]*0.15,    2),    0)</calculatedColumnFormula>
    </tableColumn>
    <tableColumn id="38" name="IR DEVIDO DT" dataDxfId="206" totalsRowDxfId="3" dataCellStyle="Moeda">
      <calculatedColumnFormula>IF([LUCRO TRIB. DT] &gt; 0,     ROUND([LUCRO TRIB. DT]*0.2,    2)  -  SUMPRODUCT(N([DATA BASE]=NC[[#This Row],[DATA BASE]]),    [IRRF FONTE]),    0)</calculatedColumnFormula>
    </tableColumn>
    <tableColumn id="14" name="IR DEVIDO" dataDxfId="205" totalsRowDxfId="2" dataCellStyle="Moeda">
      <calculatedColumnFormula>[IR '[N']] + [IR DEVIDO DT]</calculatedColumnFormula>
    </tableColumn>
    <tableColumn id="26" name="RESGATE" dataDxfId="204" totalsRowDxfId="1" dataCellStyle="Moeda">
      <calculatedColumnFormula>IF(AND([U] = "U",[IR DEVIDO] &gt; 0), [IR DEVIDO] + 8.9, 0)</calculatedColumnFormula>
    </tableColumn>
    <tableColumn id="27" name="LUCRO LÍQUIDO" totalsRowFunction="sum" dataDxfId="203" totalsRowDxfId="0" dataCellStyle="Moeda">
      <calculatedColumnFormula>[LUCRO '[N']]  + [LUCRO TRIB. DT] - [RESGATE]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J12" totalsRowCount="1" headerRowDxfId="202" dataDxfId="201">
  <autoFilter ref="A1:J11"/>
  <tableColumns count="10">
    <tableColumn id="1" name="PAPEL" totalsRowLabel="Total" dataDxfId="200" totalsRowDxfId="199"/>
    <tableColumn id="10" name="APLICAÇÃO" dataDxfId="198" totalsRowDxfId="197" dataCellStyle="Moeda"/>
    <tableColumn id="2" name="EXERCÍCIO" dataDxfId="196" totalsRowDxfId="195" dataCellStyle="Moeda"/>
    <tableColumn id="3" name="PREÇO OPÇÃO" dataDxfId="194" totalsRowDxfId="193" dataCellStyle="Moeda"/>
    <tableColumn id="4" name="PREÇO AÇÃO" dataDxfId="192" totalsRowDxfId="191" dataCellStyle="Moeda">
      <calculatedColumnFormula>35.7</calculatedColumnFormula>
    </tableColumn>
    <tableColumn id="11" name="QTDE TMP" dataDxfId="190" totalsRowDxfId="189" dataCellStyle="Moeda">
      <calculatedColumnFormula>ROUNDDOWN([APLICAÇÃO]/[PREÇO OPÇÃO], 0)</calculatedColumnFormula>
    </tableColumn>
    <tableColumn id="14" name="QTDE" dataDxfId="188" totalsRowDxfId="187" dataCellStyle="Moeda">
      <calculatedColumnFormula>[QTDE TMP] - MOD([QTDE TMP], 100)</calculatedColumnFormula>
    </tableColumn>
    <tableColumn id="5" name="TARGET 100%" dataDxfId="186" totalsRowDxfId="185" dataCellStyle="Moeda">
      <calculatedColumnFormula>[EXERCÍCIO] + ([PREÇO OPÇÃO] * 2)</calculatedColumnFormula>
    </tableColumn>
    <tableColumn id="6" name="ALTA 100%" dataDxfId="184" totalsRowDxfId="183" dataCellStyle="Porcentagem">
      <calculatedColumnFormula>[TARGET 100%] / [PREÇO AÇÃO] - 1</calculatedColumnFormula>
    </tableColumn>
    <tableColumn id="12" name="LUCRO* 100%" dataDxfId="182" totalsRowDxfId="181" dataCellStyle="Moeda">
      <calculatedColumnFormula>[PREÇO OPÇÃO] * [QTDE] - 30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24" displayName="Tabela24" ref="A1:P9" totalsRowCount="1" headerRowDxfId="180" dataDxfId="179">
  <autoFilter ref="A1:P8">
    <filterColumn colId="7"/>
  </autoFilter>
  <tableColumns count="16">
    <tableColumn id="1" name="PAPEL" totalsRowLabel="Total" dataDxfId="178" totalsRowDxfId="53"/>
    <tableColumn id="10" name="RISCO" dataDxfId="177" totalsRowDxfId="52" dataCellStyle="Moeda"/>
    <tableColumn id="20" name="PREÇO AÇÃO" dataDxfId="176" totalsRowDxfId="51" dataCellStyle="Moeda"/>
    <tableColumn id="7" name="EXERC. VENDA" dataDxfId="175" totalsRowDxfId="50" dataCellStyle="Moeda"/>
    <tableColumn id="8" name="PREÇO VENDA" dataDxfId="174" totalsRowDxfId="49" dataCellStyle="Moeda"/>
    <tableColumn id="2" name="EXERC. COMPRA" dataDxfId="173" totalsRowDxfId="48" dataCellStyle="Moeda"/>
    <tableColumn id="3" name="PREÇO COMPRA" dataDxfId="172" totalsRowDxfId="47" dataCellStyle="Moeda"/>
    <tableColumn id="4" name="VOLUME" dataDxfId="171" totalsRowDxfId="46" dataCellStyle="Moeda">
      <calculatedColumnFormula>([QTDE] * [PREÇO COMPRA]) + ([QTDE] * [PREÇO VENDA])</calculatedColumnFormula>
    </tableColumn>
    <tableColumn id="18" name="LUCRO P/ OPÇÃO" dataDxfId="170" totalsRowDxfId="45" dataCellStyle="Moeda">
      <calculatedColumnFormula>[PREÇO VENDA]-[PREÇO COMPRA]</calculatedColumnFormula>
    </tableColumn>
    <tableColumn id="19" name="PERDA P/ OPÇÃO" dataDxfId="169" totalsRowDxfId="44" dataCellStyle="Moeda">
      <calculatedColumnFormula>(0.01 - [PREÇO COMPRA]) + ([PREÇO VENDA] - ([EXERC. COMPRA]-[EXERC. VENDA]+0.01))</calculatedColumnFormula>
    </tableColumn>
    <tableColumn id="11" name="QTDE TMP" dataDxfId="168" totalsRowDxfId="43" dataCellStyle="Moeda">
      <calculatedColumnFormula>ROUNDDOWN([RISCO]/ABS([PERDA P/ OPÇÃO]), 0)</calculatedColumnFormula>
    </tableColumn>
    <tableColumn id="14" name="QTDE" dataDxfId="167" totalsRowDxfId="42" dataCellStyle="Moeda">
      <calculatedColumnFormula>[QTDE TMP] - MOD([QTDE TMP], 100)</calculatedColumnFormula>
    </tableColumn>
    <tableColumn id="5" name="LUCRO*" dataDxfId="166" totalsRowDxfId="41" dataCellStyle="Moeda">
      <calculatedColumnFormula>([QTDE]*[LUCRO P/ OPÇÃO])</calculatedColumnFormula>
    </tableColumn>
    <tableColumn id="6" name="PERDA*" dataDxfId="165" totalsRowDxfId="40" dataCellStyle="Moeda">
      <calculatedColumnFormula>[QTDE]*[PERDA P/ OPÇÃO]</calculatedColumnFormula>
    </tableColumn>
    <tableColumn id="21" name="% QUEDA" dataDxfId="164" totalsRowDxfId="39" dataCellStyle="Porcentagem">
      <calculatedColumnFormula>[EXERC. VENDA]/[PREÇO AÇÃO]-1</calculatedColumnFormula>
    </tableColumn>
    <tableColumn id="22" name="RISCO : 1" dataDxfId="163" totalsRowDxfId="38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245" displayName="Tabela245" ref="A1:V3" totalsRowCount="1" headerRowDxfId="162" dataDxfId="161">
  <autoFilter ref="A1:V2">
    <filterColumn colId="15"/>
  </autoFilter>
  <tableColumns count="22">
    <tableColumn id="1" name="PAPEL" totalsRowLabel="Total" dataDxfId="160" totalsRowDxfId="159"/>
    <tableColumn id="10" name="BASE" dataDxfId="158" totalsRowDxfId="157" dataCellStyle="Moeda"/>
    <tableColumn id="20" name="PR. AÇÃO" dataDxfId="156" totalsRowDxfId="155" dataCellStyle="Moeda"/>
    <tableColumn id="2" name="EX. CP 1" dataDxfId="154" totalsRowDxfId="153" dataCellStyle="Moeda"/>
    <tableColumn id="3" name="PR CP 1" dataDxfId="152" totalsRowDxfId="151" dataCellStyle="Moeda"/>
    <tableColumn id="12" name="EX. VD" dataDxfId="150" totalsRowDxfId="149" dataCellStyle="Moeda"/>
    <tableColumn id="13" name="PR VD" dataDxfId="148" totalsRowDxfId="147" dataCellStyle="Moeda"/>
    <tableColumn id="8" name="EX. CP 2" dataDxfId="146" totalsRowDxfId="145" dataCellStyle="Moeda"/>
    <tableColumn id="7" name="PR CP 2" dataDxfId="144" totalsRowDxfId="143" dataCellStyle="Moeda"/>
    <tableColumn id="18" name="LUCRO UNI." dataDxfId="142" totalsRowDxfId="141" dataCellStyle="Moeda">
      <calculatedColumnFormula>(([PR VD] - 0.01) * 2) + (([EX. VD] - [EX. CP 1] + 0.01) - [PR CP 1]) + (0.01 - [PR CP 2])</calculatedColumnFormula>
    </tableColumn>
    <tableColumn id="19" name="PERDA 1" dataDxfId="140" totalsRowDxfId="139" dataCellStyle="Moeda">
      <calculatedColumnFormula>(0.01 - [PR CP 1]) + (([PR VD] - 0.01) * 2) + (0.01 - [PR CP 2])</calculatedColumnFormula>
    </tableColumn>
    <tableColumn id="15" name="PERDA 2" dataDxfId="138" totalsRowDxfId="137" dataCellStyle="Moeda">
      <calculatedColumnFormula>(([EX. CP 2] - [EX. CP 1] + 0.01) - [PR CP 1]) + (([PR VD] - ([EX. CP 2] - [EX. VD] + 0.01)) * 2) + (0.01 - [PR CP 2])</calculatedColumnFormula>
    </tableColumn>
    <tableColumn id="16" name="PERDA" dataDxfId="136" totalsRowDxfId="135" dataCellStyle="Moeda">
      <calculatedColumnFormula>IF([PERDA 1] &gt; [PERDA 2], [PERDA 2], [PERDA 1])</calculatedColumnFormula>
    </tableColumn>
    <tableColumn id="11" name="QTDE TMP" dataDxfId="134" totalsRowDxfId="133" dataCellStyle="Moeda">
      <calculatedColumnFormula>ROUNDDOWN([BASE]/ABS([PERDA]), 0)</calculatedColumnFormula>
    </tableColumn>
    <tableColumn id="14" name="QTDE" dataDxfId="132" totalsRowDxfId="131" dataCellStyle="Moeda">
      <calculatedColumnFormula>[QTDE TMP] - MOD([QTDE TMP], 100)</calculatedColumnFormula>
    </tableColumn>
    <tableColumn id="4" name="QTDE VD" dataDxfId="130" totalsRowDxfId="129" dataCellStyle="Moeda">
      <calculatedColumnFormula>Tabela245[[#This Row],[QTDE]]*2</calculatedColumnFormula>
    </tableColumn>
    <tableColumn id="17" name="TOT.  CP" dataDxfId="128" totalsRowDxfId="127" dataCellStyle="Moeda">
      <calculatedColumnFormula>-([QTDE]*[PR CP 1] + [QTDE]*[PR CP 2])</calculatedColumnFormula>
    </tableColumn>
    <tableColumn id="9" name="T. VD" dataDxfId="126" totalsRowDxfId="125" dataCellStyle="Moeda">
      <calculatedColumnFormula>[QTDE]*[PR VD] * 2</calculatedColumnFormula>
    </tableColumn>
    <tableColumn id="5" name="LUCRO*" dataDxfId="124" totalsRowDxfId="123" dataCellStyle="Moeda">
      <calculatedColumnFormula>([QTDE]*[LUCRO UNI.] - 90)</calculatedColumnFormula>
    </tableColumn>
    <tableColumn id="6" name="PERDA*" dataDxfId="122" totalsRowDxfId="121" dataCellStyle="Moeda">
      <calculatedColumnFormula>[QTDE]*[PERDA] - 90</calculatedColumnFormula>
    </tableColumn>
    <tableColumn id="21" name="% VAR" dataDxfId="120" totalsRowDxfId="119" dataCellStyle="Porcentagem">
      <calculatedColumnFormula>[EX. VD] / [PR. AÇÃO] - 1</calculatedColumnFormula>
    </tableColumn>
    <tableColumn id="22" name="RISCO : 1" dataDxfId="118" totalsRowDxfId="117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a246" displayName="Tabela246" ref="A1:O5" totalsRowCount="1" headerRowDxfId="116" dataDxfId="115">
  <autoFilter ref="A1:O4">
    <filterColumn colId="6"/>
    <filterColumn colId="7"/>
    <filterColumn colId="8"/>
    <filterColumn colId="9"/>
    <filterColumn colId="10"/>
  </autoFilter>
  <tableColumns count="15">
    <tableColumn id="1" name="PAPEL" totalsRowLabel="Total" dataDxfId="114" totalsRowDxfId="113"/>
    <tableColumn id="10" name="RISCO" dataDxfId="112" totalsRowDxfId="111" dataCellStyle="Moeda"/>
    <tableColumn id="20" name="PREÇO AÇÃO" dataDxfId="110" totalsRowDxfId="109" dataCellStyle="Moeda"/>
    <tableColumn id="7" name="EX. VENDA" dataDxfId="108" totalsRowDxfId="107" dataCellStyle="Moeda"/>
    <tableColumn id="2" name="EX. COMPRA" dataDxfId="106" totalsRowDxfId="105" dataCellStyle="Moeda"/>
    <tableColumn id="3" name="PR COMPRA" dataDxfId="104" totalsRowDxfId="103" dataCellStyle="Moeda"/>
    <tableColumn id="16" name="QTDE" dataDxfId="102" totalsRowDxfId="101" dataCellStyle="Moeda"/>
    <tableColumn id="13" name="PERDA P/ OPÇÃO" dataDxfId="100" totalsRowDxfId="99" dataCellStyle="Moeda">
      <calculatedColumnFormula>-[RISCO]/[QTDE]</calculatedColumnFormula>
    </tableColumn>
    <tableColumn id="14" name="CUSTO CP" dataDxfId="98" totalsRowDxfId="97" dataCellStyle="Moeda">
      <calculatedColumnFormula>[PR COMPRA] * [QTDE]</calculatedColumnFormula>
    </tableColumn>
    <tableColumn id="15" name="LUCRO UNI" dataDxfId="96" totalsRowDxfId="95">
      <calculatedColumnFormula>[PR VENDA]-[PR COMPRA]</calculatedColumnFormula>
    </tableColumn>
    <tableColumn id="8" name="PR VENDA" dataDxfId="94" totalsRowDxfId="93" dataCellStyle="Moeda">
      <calculatedColumnFormula>[PERDA P/ OPÇÃO] + ([EX. COMPRA] - [EX. VENDA] + 0.01) - 0.01 + [PR COMPRA]</calculatedColumnFormula>
    </tableColumn>
    <tableColumn id="5" name="LUCRO*" dataDxfId="92" totalsRowDxfId="91" dataCellStyle="Moeda">
      <calculatedColumnFormula>([QTDE]*[LUCRO UNI])</calculatedColumnFormula>
    </tableColumn>
    <tableColumn id="6" name="PERDA*" dataDxfId="90" totalsRowDxfId="89" dataCellStyle="Moeda">
      <calculatedColumnFormula>[PERDA P/ OPÇÃO]*[QTDE]</calculatedColumnFormula>
    </tableColumn>
    <tableColumn id="21" name="% QUEDA" dataDxfId="88" totalsRowDxfId="87" dataCellStyle="Porcentagem">
      <calculatedColumnFormula>[EX. VENDA]/[PREÇO AÇÃO]-1</calculatedColumnFormula>
    </tableColumn>
    <tableColumn id="22" name="RISCO : 1" dataDxfId="86" totalsRowDxfId="85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a2467" displayName="Tabela2467" ref="A1:O6" totalsRowCount="1" headerRowDxfId="84" dataDxfId="83">
  <autoFilter ref="A1:O5">
    <filterColumn colId="5"/>
  </autoFilter>
  <tableColumns count="15">
    <tableColumn id="1" name="PAPEL" totalsRowLabel="Total" dataDxfId="82" totalsRowDxfId="81"/>
    <tableColumn id="10" name="RISCO" dataDxfId="80" totalsRowDxfId="79" dataCellStyle="Moeda"/>
    <tableColumn id="20" name="PREÇO AÇÃO" dataDxfId="78" totalsRowDxfId="77" dataCellStyle="Moeda"/>
    <tableColumn id="7" name="EX. VENDA" dataDxfId="76" totalsRowDxfId="75" dataCellStyle="Moeda"/>
    <tableColumn id="2" name="EX. COMPRA" dataDxfId="74" totalsRowDxfId="73" dataCellStyle="Moeda"/>
    <tableColumn id="9" name="PR VENDA" totalsRowDxfId="72"/>
    <tableColumn id="3" name="PR COMPRA" dataDxfId="71" totalsRowDxfId="70" dataCellStyle="Moeda"/>
    <tableColumn id="16" name="QTDE" dataDxfId="69" totalsRowDxfId="68" dataCellStyle="Moeda"/>
    <tableColumn id="13" name="PERDA P/ OPÇÃO" dataDxfId="67" totalsRowDxfId="66" dataCellStyle="Moeda">
      <calculatedColumnFormula>([PR VENDA] - ([EX. COMPRA] - [EX. VENDA] + 0.01)) + (0.01 - ([PR COMPRA]))</calculatedColumnFormula>
    </tableColumn>
    <tableColumn id="14" name="VOLUME" dataDxfId="65" totalsRowDxfId="64" dataCellStyle="Moeda">
      <calculatedColumnFormula>[PR COMPRA] * [QTDE]</calculatedColumnFormula>
    </tableColumn>
    <tableColumn id="15" name="LUCRO UNI" dataDxfId="63" totalsRowDxfId="62">
      <calculatedColumnFormula>[PR VENDA]-[PR COMPRA]</calculatedColumnFormula>
    </tableColumn>
    <tableColumn id="5" name="LUCRO*" dataDxfId="61" totalsRowDxfId="60" dataCellStyle="Moeda">
      <calculatedColumnFormula>([QTDE]*[LUCRO UNI])</calculatedColumnFormula>
    </tableColumn>
    <tableColumn id="6" name="PERDA*" dataDxfId="59" totalsRowDxfId="58" dataCellStyle="Moeda">
      <calculatedColumnFormula>[PERDA P/ OPÇÃO]*[QTDE]</calculatedColumnFormula>
    </tableColumn>
    <tableColumn id="21" name="% QUEDA" dataDxfId="57" totalsRowDxfId="56" dataCellStyle="Porcentagem">
      <calculatedColumnFormula>[EX. VENDA]/[PREÇO AÇÃO]-1</calculatedColumnFormula>
    </tableColumn>
    <tableColumn id="22" name="RISCO : 1" dataDxfId="55" totalsRowDxfId="54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L53"/>
  <sheetViews>
    <sheetView tabSelected="1" workbookViewId="0">
      <pane xSplit="8" ySplit="1" topLeftCell="I28" activePane="bottomRight" state="frozen"/>
      <selection pane="topRight" activeCell="I1" sqref="I1"/>
      <selection pane="bottomLeft" activeCell="A2" sqref="A2"/>
      <selection pane="bottomRight" activeCell="G51" sqref="G51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6" width="6.85546875" style="7" bestFit="1" customWidth="1"/>
    <col min="7" max="7" width="7.7109375" style="7" bestFit="1" customWidth="1"/>
    <col min="8" max="8" width="7" style="7" bestFit="1" customWidth="1"/>
    <col min="9" max="9" width="18" style="7" hidden="1" customWidth="1"/>
    <col min="10" max="10" width="10.5703125" style="8" hidden="1" customWidth="1"/>
    <col min="11" max="11" width="6" style="7" hidden="1" customWidth="1"/>
    <col min="12" max="12" width="19" style="9" hidden="1" customWidth="1"/>
    <col min="13" max="13" width="25.28515625" style="7" hidden="1" customWidth="1"/>
    <col min="14" max="14" width="17.85546875" style="8" hidden="1" customWidth="1"/>
    <col min="15" max="15" width="13.7109375" style="8" hidden="1" customWidth="1"/>
    <col min="16" max="16" width="15.5703125" style="7" hidden="1" customWidth="1"/>
    <col min="17" max="17" width="12.42578125" style="7" hidden="1" customWidth="1"/>
    <col min="18" max="18" width="6.85546875" style="7" hidden="1" customWidth="1"/>
    <col min="19" max="19" width="15" style="7" hidden="1" customWidth="1"/>
    <col min="20" max="20" width="12.5703125" style="7" hidden="1" customWidth="1"/>
    <col min="21" max="21" width="10.42578125" style="7" bestFit="1" customWidth="1"/>
    <col min="22" max="23" width="9.85546875" style="7" bestFit="1" customWidth="1"/>
    <col min="24" max="24" width="11.85546875" style="7" hidden="1" customWidth="1"/>
    <col min="25" max="25" width="6.85546875" style="7" customWidth="1"/>
    <col min="26" max="26" width="9.85546875" style="7" hidden="1" customWidth="1"/>
    <col min="27" max="27" width="11.140625" style="7" hidden="1" customWidth="1"/>
    <col min="28" max="28" width="8.5703125" style="7" hidden="1" customWidth="1"/>
    <col min="29" max="29" width="10.85546875" style="25" hidden="1" customWidth="1"/>
    <col min="30" max="30" width="11.7109375" style="7" bestFit="1" customWidth="1"/>
    <col min="31" max="31" width="10" style="7" bestFit="1" customWidth="1"/>
    <col min="32" max="32" width="9.85546875" style="7" bestFit="1" customWidth="1"/>
    <col min="33" max="33" width="13.140625" style="7" bestFit="1" customWidth="1"/>
    <col min="34" max="34" width="10" style="7" bestFit="1" customWidth="1"/>
    <col min="35" max="35" width="12" style="7" bestFit="1" customWidth="1"/>
    <col min="36" max="36" width="10" style="7" bestFit="1" customWidth="1"/>
    <col min="37" max="37" width="9.140625" style="7" hidden="1" customWidth="1"/>
    <col min="38" max="16384" width="11.5703125" style="7"/>
  </cols>
  <sheetData>
    <row r="1" spans="1:38" s="10" customFormat="1">
      <c r="A1" s="10" t="s">
        <v>17</v>
      </c>
      <c r="B1" s="10" t="s">
        <v>53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10" t="s">
        <v>3</v>
      </c>
      <c r="I1" s="10" t="s">
        <v>39</v>
      </c>
      <c r="J1" s="10" t="s">
        <v>40</v>
      </c>
      <c r="K1" s="10" t="s">
        <v>21</v>
      </c>
      <c r="L1" s="10" t="s">
        <v>33</v>
      </c>
      <c r="M1" s="10" t="s">
        <v>34</v>
      </c>
      <c r="N1" s="11" t="s">
        <v>35</v>
      </c>
      <c r="O1" s="10" t="s">
        <v>36</v>
      </c>
      <c r="P1" s="10" t="s">
        <v>37</v>
      </c>
      <c r="Q1" s="12" t="s">
        <v>9</v>
      </c>
      <c r="R1" s="10" t="s">
        <v>4</v>
      </c>
      <c r="S1" s="12" t="s">
        <v>38</v>
      </c>
      <c r="T1" s="10" t="s">
        <v>32</v>
      </c>
      <c r="U1" s="12" t="s">
        <v>44</v>
      </c>
      <c r="V1" s="12" t="s">
        <v>5</v>
      </c>
      <c r="W1" s="10" t="s">
        <v>113</v>
      </c>
      <c r="X1" s="10" t="s">
        <v>41</v>
      </c>
      <c r="Y1" s="10" t="s">
        <v>18</v>
      </c>
      <c r="Z1" s="10" t="s">
        <v>22</v>
      </c>
      <c r="AA1" s="10" t="s">
        <v>19</v>
      </c>
      <c r="AB1" s="10" t="s">
        <v>20</v>
      </c>
      <c r="AC1" s="37" t="s">
        <v>74</v>
      </c>
      <c r="AD1" s="10" t="s">
        <v>48</v>
      </c>
      <c r="AE1" s="10" t="s">
        <v>57</v>
      </c>
      <c r="AF1" s="10" t="s">
        <v>58</v>
      </c>
      <c r="AG1" s="10" t="s">
        <v>51</v>
      </c>
      <c r="AH1" s="10" t="s">
        <v>59</v>
      </c>
      <c r="AI1" s="10" t="s">
        <v>47</v>
      </c>
      <c r="AJ1" s="10" t="s">
        <v>49</v>
      </c>
      <c r="AK1" s="10" t="s">
        <v>50</v>
      </c>
      <c r="AL1" s="10" t="s">
        <v>52</v>
      </c>
    </row>
    <row r="2" spans="1:38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13" t="s">
        <v>6</v>
      </c>
      <c r="I2" s="14">
        <f>WORKDAY(NC[[#This Row],[DATA]],1,0)</f>
        <v>40981</v>
      </c>
      <c r="J2" s="21">
        <f>EOMONTH(NC[[#This Row],[DATA DE LIQUIDAÇÃO]],0)</f>
        <v>40999</v>
      </c>
      <c r="K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" s="15">
        <f>[QTDE]*[PREÇO]</f>
        <v>168.00000000000003</v>
      </c>
      <c r="M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N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Q2" s="15">
        <f>SETUP!$E$3*SUMPRODUCT(N([DATA]=NC[[#This Row],[DATA]]),N([ID]&lt;=NC[[#This Row],[ID]]))</f>
        <v>14.9</v>
      </c>
      <c r="R2" s="15">
        <f>TRUNC([CORRETAGEM]*SETUP!$F$3,2)</f>
        <v>0.28999999999999998</v>
      </c>
      <c r="S2" s="15">
        <f>ROUND([CORRETAGEM]*SETUP!$G$3,2)</f>
        <v>0.57999999999999996</v>
      </c>
      <c r="T2" s="15">
        <f>[VALOR LÍQUIDO DAS OPERAÇÕES]-[TAXA DE LIQUIDAÇÃO]-[EMOLUMENTOS]-[TAXA DE REGISTRO]-[CORRETAGEM]-[ISS]-IF(['[D/N']]="D",    0,    [OUTRAS BOVESPA])</f>
        <v>-183.98000000000005</v>
      </c>
      <c r="U2" s="15">
        <f>IF(AND(['[D/N']]="D",    [T]="CV"),    ROUND([LÍQUIDO BASE]*0.01, 2),    0)</f>
        <v>0</v>
      </c>
      <c r="V2" s="15">
        <f>IF([PREÇO] &gt; 0,    [LÍQUIDO BASE]-SUMPRODUCT(N([DATA]=NC[[#This Row],[DATA]]),    [IRRF FONTE]),    0)</f>
        <v>-183.98000000000005</v>
      </c>
      <c r="W2" s="15">
        <f>[LÍQUIDO]-SUMPRODUCT(N([DATA]=NC[[#This Row],[DATA]]),N([ID]=(NC[[#This Row],[ID]]-1)),[LÍQUIDO])</f>
        <v>-183.98000000000005</v>
      </c>
      <c r="X2" s="15">
        <f>IF([T] = "VC", ABS([VALOR OP]) / [QTDE], [VALOR OP]/[QTDE])</f>
        <v>-0.30663333333333342</v>
      </c>
      <c r="Y2" s="15">
        <f>TRUNC(IF(OR([T]="CV",[T]="VV"),     L2*SETUP!$H$3,     0),2)</f>
        <v>0</v>
      </c>
      <c r="Z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A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B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" s="15">
        <f>IF([LUCRO TMP] &lt;&gt; 0, [LUCRO TMP] - SUMPRODUCT(N([ATIVO]=NC[[#This Row],[ATIVO]]),N(['[D/N']]="N"),N([ID]&lt;NC[[#This Row],[ID]]),N([PAR]=NC[[#This Row],[PAR]]), [LUCRO TMP]), 0)</f>
        <v>0</v>
      </c>
      <c r="AE2" s="15">
        <f>IF([U] = "U", SUMPRODUCT(N([ID]&lt;=NC[[#This Row],[ID]]),N([DATA BASE]=NC[[#This Row],[DATA BASE]]), N(['[D/N']] = "N"),    [LUCRO P/ OP]), 0)</f>
        <v>0</v>
      </c>
      <c r="AF2" s="15">
        <f>IF([U] = "U",[LUCRO '[N']] + SUMPRODUCT(N(MONTH([DATA BASE])&lt;MONTH(NC[[#This Row],[DATA BASE]]) ), [LUCRO '[N']]),0)</f>
        <v>0</v>
      </c>
      <c r="AG2" s="15">
        <f>IF([U] = "U", SUMPRODUCT(N([DATA BASE]=NC[[#This Row],[DATA BASE]]), N(['[D/N']] = "D"),    [LUCRO P/ OP]), 0)</f>
        <v>0</v>
      </c>
      <c r="AH2" s="19">
        <f>IF([ TRIB. '[N']] &gt; 0,     ROUND([ TRIB. '[N']]*0.15,    2),    0)</f>
        <v>0</v>
      </c>
      <c r="AI2" s="19">
        <f>IF([LUCRO TRIB. DT] &gt; 0,     ROUND([LUCRO TRIB. DT]*0.2,    2)  -  SUMPRODUCT(N([DATA BASE]=NC[[#This Row],[DATA BASE]]),    [IRRF FONTE]),    0)</f>
        <v>0</v>
      </c>
      <c r="AJ2" s="19">
        <f>[IR '[N']] + [IR DEVIDO DT]</f>
        <v>0</v>
      </c>
      <c r="AK2" s="19">
        <f>IF(AND([U] = "U",[IR DEVIDO] &gt; 0), [IR DEVIDO] + 8.9, 0)</f>
        <v>0</v>
      </c>
      <c r="AL2" s="19">
        <f>[LUCRO '[N']]  + [LUCRO TRIB. DT] - [RESGATE]</f>
        <v>0</v>
      </c>
    </row>
    <row r="3" spans="1:38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13" t="s">
        <v>6</v>
      </c>
      <c r="I3" s="14">
        <f>WORKDAY(NC[[#This Row],[DATA]],1,0)</f>
        <v>40981</v>
      </c>
      <c r="J3" s="21">
        <f>EOMONTH(NC[[#This Row],[DATA DE LIQUIDAÇÃO]],0)</f>
        <v>40999</v>
      </c>
      <c r="K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" s="15">
        <f>[QTDE]*[PREÇO]</f>
        <v>160</v>
      </c>
      <c r="M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N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O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P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Q3" s="15">
        <f>SETUP!$E$3*SUMPRODUCT(N([DATA]=NC[[#This Row],[DATA]]),N([ID]&lt;=NC[[#This Row],[ID]]))</f>
        <v>29.8</v>
      </c>
      <c r="R3" s="15">
        <f>TRUNC([CORRETAGEM]*SETUP!$F$3,2)</f>
        <v>0.59</v>
      </c>
      <c r="S3" s="15">
        <f>ROUND([CORRETAGEM]*SETUP!$G$3,2)</f>
        <v>1.1599999999999999</v>
      </c>
      <c r="T3" s="15">
        <f>[VALOR LÍQUIDO DAS OPERAÇÕES]-[TAXA DE LIQUIDAÇÃO]-[EMOLUMENTOS]-[TAXA DE REGISTRO]-[CORRETAGEM]-[ISS]-IF(['[D/N']]="D",    0,    [OUTRAS BOVESPA])</f>
        <v>-359.98</v>
      </c>
      <c r="U3" s="15">
        <f>IF(AND(['[D/N']]="D",    [T]="CV"),    ROUND([LÍQUIDO BASE]*0.01, 2),    0)</f>
        <v>0</v>
      </c>
      <c r="V3" s="15">
        <f>IF([PREÇO] &gt; 0,    [LÍQUIDO BASE]-SUMPRODUCT(N([DATA]=NC[[#This Row],[DATA]]),    [IRRF FONTE]),    0)</f>
        <v>-359.98</v>
      </c>
      <c r="W3" s="15">
        <f>[LÍQUIDO]-SUMPRODUCT(N([DATA]=NC[[#This Row],[DATA]]),N([ID]=(NC[[#This Row],[ID]]-1)),[LÍQUIDO])</f>
        <v>-175.99999999999997</v>
      </c>
      <c r="X3" s="15">
        <f>IF([T] = "VC", ABS([VALOR OP]) / [QTDE], [VALOR OP]/[QTDE])</f>
        <v>-0.43999999999999995</v>
      </c>
      <c r="Y3" s="15">
        <f>TRUNC(IF(OR([T]="CV",[T]="VV"),     L3*SETUP!$H$3,     0),2)</f>
        <v>0</v>
      </c>
      <c r="Z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A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B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" s="15">
        <f>IF([LUCRO TMP] &lt;&gt; 0, [LUCRO TMP] - SUMPRODUCT(N([ATIVO]=NC[[#This Row],[ATIVO]]),N(['[D/N']]="N"),N([ID]&lt;NC[[#This Row],[ID]]),N([PAR]=NC[[#This Row],[PAR]]), [LUCRO TMP]), 0)</f>
        <v>0</v>
      </c>
      <c r="AE3" s="15">
        <f>IF([U] = "U", SUMPRODUCT(N([ID]&lt;=NC[[#This Row],[ID]]),N([DATA BASE]=NC[[#This Row],[DATA BASE]]), N(['[D/N']] = "N"),    [LUCRO P/ OP]), 0)</f>
        <v>0</v>
      </c>
      <c r="AF3" s="15">
        <f>IF([U] = "U",[LUCRO '[N']] + SUMPRODUCT(N(MONTH([DATA BASE])&lt;MONTH(NC[[#This Row],[DATA BASE]]) ), [LUCRO '[N']]),0)</f>
        <v>0</v>
      </c>
      <c r="AG3" s="15">
        <f>IF([U] = "U", SUMPRODUCT(N([DATA BASE]=NC[[#This Row],[DATA BASE]]), N(['[D/N']] = "D"),    [LUCRO P/ OP]), 0)</f>
        <v>0</v>
      </c>
      <c r="AH3" s="19">
        <f>IF([ TRIB. '[N']] &gt; 0,     ROUND([ TRIB. '[N']]*0.15,    2),    0)</f>
        <v>0</v>
      </c>
      <c r="AI3" s="19">
        <f>IF([LUCRO TRIB. DT] &gt; 0,     ROUND([LUCRO TRIB. DT]*0.2,    2)  -  SUMPRODUCT(N([DATA BASE]=NC[[#This Row],[DATA BASE]]),    [IRRF FONTE]),    0)</f>
        <v>0</v>
      </c>
      <c r="AJ3" s="19">
        <f>[IR '[N']] + [IR DEVIDO DT]</f>
        <v>0</v>
      </c>
      <c r="AK3" s="19">
        <f>IF(AND([U] = "U",[IR DEVIDO] &gt; 0), [IR DEVIDO] + 8.9, 0)</f>
        <v>0</v>
      </c>
      <c r="AL3" s="19">
        <f>[LUCRO '[N']]  + [LUCRO TRIB. DT] - [RESGATE]</f>
        <v>0</v>
      </c>
    </row>
    <row r="4" spans="1:38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13" t="s">
        <v>14</v>
      </c>
      <c r="I4" s="14">
        <f>WORKDAY(NC[[#This Row],[DATA]],1,0)</f>
        <v>40982</v>
      </c>
      <c r="J4" s="21">
        <f>EOMONTH(NC[[#This Row],[DATA DE LIQUIDAÇÃO]],0)</f>
        <v>40999</v>
      </c>
      <c r="K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4" s="15">
        <f>[QTDE]*[PREÇO]</f>
        <v>228</v>
      </c>
      <c r="M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N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Q4" s="15">
        <f>SETUP!$E$3*SUMPRODUCT(N([DATA]=NC[[#This Row],[DATA]]),N([ID]&lt;=NC[[#This Row],[ID]]))</f>
        <v>14.9</v>
      </c>
      <c r="R4" s="15">
        <f>TRUNC([CORRETAGEM]*SETUP!$F$3,2)</f>
        <v>0.28999999999999998</v>
      </c>
      <c r="S4" s="15">
        <f>ROUND([CORRETAGEM]*SETUP!$G$3,2)</f>
        <v>0.57999999999999996</v>
      </c>
      <c r="T4" s="15">
        <f>[VALOR LÍQUIDO DAS OPERAÇÕES]-[TAXA DE LIQUIDAÇÃO]-[EMOLUMENTOS]-[TAXA DE REGISTRO]-[CORRETAGEM]-[ISS]-IF(['[D/N']]="D",    0,    [OUTRAS BOVESPA])</f>
        <v>-243.28</v>
      </c>
      <c r="U4" s="15">
        <f>IF(AND(['[D/N']]="D",    [T]="CV"),    ROUND([LÍQUIDO BASE]*0.01, 2),    0)</f>
        <v>0</v>
      </c>
      <c r="V4" s="15">
        <f>IF([PREÇO] &gt; 0,    [LÍQUIDO BASE]-SUMPRODUCT(N([DATA]=NC[[#This Row],[DATA]]),    [IRRF FONTE]),    0)</f>
        <v>-245.25</v>
      </c>
      <c r="W4" s="15">
        <f>[LÍQUIDO]-SUMPRODUCT(N([DATA]=NC[[#This Row],[DATA]]),N([ID]=(NC[[#This Row],[ID]]-1)),[LÍQUIDO])</f>
        <v>-245.25</v>
      </c>
      <c r="X4" s="15">
        <f>IF([T] = "VC", ABS([VALOR OP]) / [QTDE], [VALOR OP]/[QTDE])</f>
        <v>-0.204375</v>
      </c>
      <c r="Y4" s="15">
        <f>TRUNC(IF(OR([T]="CV",[T]="VV"),     L4*SETUP!$H$3,     0),2)</f>
        <v>0</v>
      </c>
      <c r="Z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B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4" s="15">
        <f>IF([LUCRO TMP] &lt;&gt; 0, [LUCRO TMP] - SUMPRODUCT(N([ATIVO]=NC[[#This Row],[ATIVO]]),N(['[D/N']]="N"),N([ID]&lt;NC[[#This Row],[ID]]),N([PAR]=NC[[#This Row],[PAR]]), [LUCRO TMP]), 0)</f>
        <v>0</v>
      </c>
      <c r="AE4" s="15">
        <f>IF([U] = "U", SUMPRODUCT(N([ID]&lt;=NC[[#This Row],[ID]]),N([DATA BASE]=NC[[#This Row],[DATA BASE]]), N(['[D/N']] = "N"),    [LUCRO P/ OP]), 0)</f>
        <v>0</v>
      </c>
      <c r="AF4" s="15">
        <f>IF([U] = "U",[LUCRO '[N']] + SUMPRODUCT(N(MONTH([DATA BASE])&lt;MONTH(NC[[#This Row],[DATA BASE]]) ), [LUCRO '[N']]),0)</f>
        <v>0</v>
      </c>
      <c r="AG4" s="15">
        <f>IF([U] = "U", SUMPRODUCT(N([DATA BASE]=NC[[#This Row],[DATA BASE]]), N(['[D/N']] = "D"),    [LUCRO P/ OP]), 0)</f>
        <v>0</v>
      </c>
      <c r="AH4" s="20">
        <f>IF([ TRIB. '[N']] &gt; 0,     ROUND([ TRIB. '[N']]*0.15,    2),    0)</f>
        <v>0</v>
      </c>
      <c r="AI4" s="20">
        <f>IF([LUCRO TRIB. DT] &gt; 0,     ROUND([LUCRO TRIB. DT]*0.2,    2)  -  SUMPRODUCT(N([DATA BASE]=NC[[#This Row],[DATA BASE]]),    [IRRF FONTE]),    0)</f>
        <v>0</v>
      </c>
      <c r="AJ4" s="19">
        <f>[IR '[N']] + [IR DEVIDO DT]</f>
        <v>0</v>
      </c>
      <c r="AK4" s="19">
        <f>IF(AND([U] = "U",[IR DEVIDO] &gt; 0), [IR DEVIDO] + 8.9, 0)</f>
        <v>0</v>
      </c>
      <c r="AL4" s="19">
        <f>[LUCRO '[N']]  + [LUCRO TRIB. DT] - [RESGATE]</f>
        <v>0</v>
      </c>
    </row>
    <row r="5" spans="1:38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13" t="s">
        <v>14</v>
      </c>
      <c r="I5" s="14">
        <f>WORKDAY(NC[[#This Row],[DATA]],1,0)</f>
        <v>40982</v>
      </c>
      <c r="J5" s="21">
        <f>EOMONTH(NC[[#This Row],[DATA DE LIQUIDAÇÃO]],0)</f>
        <v>40999</v>
      </c>
      <c r="K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5" s="15">
        <f>[QTDE]*[PREÇO]</f>
        <v>456</v>
      </c>
      <c r="M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N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O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P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Q5" s="15">
        <f>SETUP!$E$3*SUMPRODUCT(N([DATA]=NC[[#This Row],[DATA]]),N([ID]&lt;=NC[[#This Row],[ID]]))</f>
        <v>29.8</v>
      </c>
      <c r="R5" s="15">
        <f>TRUNC([CORRETAGEM]*SETUP!$F$3,2)</f>
        <v>0.59</v>
      </c>
      <c r="S5" s="15">
        <f>ROUND([CORRETAGEM]*SETUP!$G$3,2)</f>
        <v>1.1599999999999999</v>
      </c>
      <c r="T5" s="15">
        <f>[VALOR LÍQUIDO DAS OPERAÇÕES]-[TAXA DE LIQUIDAÇÃO]-[EMOLUMENTOS]-[TAXA DE REGISTRO]-[CORRETAGEM]-[ISS]-IF(['[D/N']]="D",    0,    [OUTRAS BOVESPA])</f>
        <v>197.30999999999997</v>
      </c>
      <c r="U5" s="15">
        <f>IF(AND(['[D/N']]="D",    [T]="CV"),    ROUND([LÍQUIDO BASE]*0.01, 2),    0)</f>
        <v>1.97</v>
      </c>
      <c r="V5" s="15">
        <f>IF([PREÇO] &gt; 0,    [LÍQUIDO BASE]-SUMPRODUCT(N([DATA]=NC[[#This Row],[DATA]]),    [IRRF FONTE]),    0)</f>
        <v>195.33999999999997</v>
      </c>
      <c r="W5" s="15">
        <f>[LÍQUIDO]-SUMPRODUCT(N([DATA]=NC[[#This Row],[DATA]]),N([ID]=(NC[[#This Row],[ID]]-1)),[LÍQUIDO])</f>
        <v>440.59</v>
      </c>
      <c r="X5" s="15">
        <f>IF([T] = "VC", ABS([VALOR OP]) / [QTDE], [VALOR OP]/[QTDE])</f>
        <v>0.36715833333333331</v>
      </c>
      <c r="Y5" s="15">
        <f>TRUNC(IF(OR([T]="CV",[T]="VV"),     L5*SETUP!$H$3,     0),2)</f>
        <v>0.02</v>
      </c>
      <c r="Z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B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C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D5" s="15">
        <f>IF([LUCRO TMP] &lt;&gt; 0, [LUCRO TMP] - SUMPRODUCT(N([ATIVO]=NC[[#This Row],[ATIVO]]),N(['[D/N']]="N"),N([ID]&lt;NC[[#This Row],[ID]]),N([PAR]=NC[[#This Row],[PAR]]), [LUCRO TMP]), 0)</f>
        <v>197.30999999999997</v>
      </c>
      <c r="AE5" s="15">
        <f>IF([U] = "U", SUMPRODUCT(N([ID]&lt;=NC[[#This Row],[ID]]),N([DATA BASE]=NC[[#This Row],[DATA BASE]]), N(['[D/N']] = "N"),    [LUCRO P/ OP]), 0)</f>
        <v>0</v>
      </c>
      <c r="AF5" s="15">
        <f>IF([U] = "U",[LUCRO '[N']] + SUMPRODUCT(N(MONTH([DATA BASE])&lt;MONTH(NC[[#This Row],[DATA BASE]]) ), [LUCRO '[N']]),0)</f>
        <v>0</v>
      </c>
      <c r="AG5" s="15">
        <f>IF([U] = "U", SUMPRODUCT(N([DATA BASE]=NC[[#This Row],[DATA BASE]]), N(['[D/N']] = "D"),    [LUCRO P/ OP]), 0)</f>
        <v>0</v>
      </c>
      <c r="AH5" s="20">
        <f>IF([ TRIB. '[N']] &gt; 0,     ROUND([ TRIB. '[N']]*0.15,    2),    0)</f>
        <v>0</v>
      </c>
      <c r="AI5" s="20">
        <f>IF([LUCRO TRIB. DT] &gt; 0,     ROUND([LUCRO TRIB. DT]*0.2,    2)  -  SUMPRODUCT(N([DATA BASE]=NC[[#This Row],[DATA BASE]]),    [IRRF FONTE]),    0)</f>
        <v>0</v>
      </c>
      <c r="AJ5" s="19">
        <f>[IR '[N']] + [IR DEVIDO DT]</f>
        <v>0</v>
      </c>
      <c r="AK5" s="19">
        <f>IF(AND([U] = "U",[IR DEVIDO] &gt; 0), [IR DEVIDO] + 8.9, 0)</f>
        <v>0</v>
      </c>
      <c r="AL5" s="19">
        <f>[LUCRO '[N']]  + [LUCRO TRIB. DT] - [RESGATE]</f>
        <v>0</v>
      </c>
    </row>
    <row r="6" spans="1:38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13" t="s">
        <v>6</v>
      </c>
      <c r="I6" s="14">
        <f>WORKDAY(NC[[#This Row],[DATA]],1,0)</f>
        <v>40982</v>
      </c>
      <c r="J6" s="21">
        <f>EOMONTH(NC[[#This Row],[DATA DE LIQUIDAÇÃO]],0)</f>
        <v>40999</v>
      </c>
      <c r="K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6" s="15">
        <f>[QTDE]*[PREÇO]</f>
        <v>320</v>
      </c>
      <c r="M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N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O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P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Q6" s="15">
        <f>SETUP!$E$3*SUMPRODUCT(N([DATA]=NC[[#This Row],[DATA]]),N([ID]&lt;=NC[[#This Row],[ID]]))</f>
        <v>44.7</v>
      </c>
      <c r="R6" s="15">
        <f>TRUNC([CORRETAGEM]*SETUP!$F$3,2)</f>
        <v>0.89</v>
      </c>
      <c r="S6" s="15">
        <f>ROUND([CORRETAGEM]*SETUP!$G$3,2)</f>
        <v>1.74</v>
      </c>
      <c r="T6" s="15">
        <f>[VALOR LÍQUIDO DAS OPERAÇÕES]-[TAXA DE LIQUIDAÇÃO]-[EMOLUMENTOS]-[TAXA DE REGISTRO]-[CORRETAGEM]-[ISS]-IF(['[D/N']]="D",    0,    [OUTRAS BOVESPA])</f>
        <v>499.93999999999988</v>
      </c>
      <c r="U6" s="15">
        <f>IF(AND(['[D/N']]="D",    [T]="CV"),    ROUND([LÍQUIDO BASE]*0.01, 2),    0)</f>
        <v>0</v>
      </c>
      <c r="V6" s="15">
        <f>IF([PREÇO] &gt; 0,    [LÍQUIDO BASE]-SUMPRODUCT(N([DATA]=NC[[#This Row],[DATA]]),    [IRRF FONTE]),    0)</f>
        <v>497.96999999999986</v>
      </c>
      <c r="W6" s="15">
        <f>[LÍQUIDO]-SUMPRODUCT(N([DATA]=NC[[#This Row],[DATA]]),N([ID]=(NC[[#This Row],[ID]]-1)),[LÍQUIDO])</f>
        <v>302.62999999999988</v>
      </c>
      <c r="X6" s="15">
        <f>IF([T] = "VC", ABS([VALOR OP]) / [QTDE], [VALOR OP]/[QTDE])</f>
        <v>0.75657499999999966</v>
      </c>
      <c r="Y6" s="15">
        <f>TRUNC(IF(OR([T]="CV",[T]="VV"),     L6*SETUP!$H$3,     0),2)</f>
        <v>0.01</v>
      </c>
      <c r="Z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B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C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D6" s="15">
        <f>IF([LUCRO TMP] &lt;&gt; 0, [LUCRO TMP] - SUMPRODUCT(N([ATIVO]=NC[[#This Row],[ATIVO]]),N(['[D/N']]="N"),N([ID]&lt;NC[[#This Row],[ID]]),N([PAR]=NC[[#This Row],[PAR]]), [LUCRO TMP]), 0)</f>
        <v>126.62999999999988</v>
      </c>
      <c r="AE6" s="15">
        <f>IF([U] = "U", SUMPRODUCT(N([ID]&lt;=NC[[#This Row],[ID]]),N([DATA BASE]=NC[[#This Row],[DATA BASE]]), N(['[D/N']] = "N"),    [LUCRO P/ OP]), 0)</f>
        <v>0</v>
      </c>
      <c r="AF6" s="15">
        <f>IF([U] = "U",[LUCRO '[N']] + SUMPRODUCT(N(MONTH([DATA BASE])&lt;MONTH(NC[[#This Row],[DATA BASE]]) ), [LUCRO '[N']]),0)</f>
        <v>0</v>
      </c>
      <c r="AG6" s="15">
        <f>IF([U] = "U", SUMPRODUCT(N([DATA BASE]=NC[[#This Row],[DATA BASE]]), N(['[D/N']] = "D"),    [LUCRO P/ OP]), 0)</f>
        <v>0</v>
      </c>
      <c r="AH6" s="20">
        <f>IF([ TRIB. '[N']] &gt; 0,     ROUND([ TRIB. '[N']]*0.15,    2),    0)</f>
        <v>0</v>
      </c>
      <c r="AI6" s="20">
        <f>IF([LUCRO TRIB. DT] &gt; 0,     ROUND([LUCRO TRIB. DT]*0.2,    2)  -  SUMPRODUCT(N([DATA BASE]=NC[[#This Row],[DATA BASE]]),    [IRRF FONTE]),    0)</f>
        <v>0</v>
      </c>
      <c r="AJ6" s="19">
        <f>[IR '[N']] + [IR DEVIDO DT]</f>
        <v>0</v>
      </c>
      <c r="AK6" s="19">
        <f>IF(AND([U] = "U",[IR DEVIDO] &gt; 0), [IR DEVIDO] + 8.9, 0)</f>
        <v>0</v>
      </c>
      <c r="AL6" s="19">
        <f>[LUCRO '[N']]  + [LUCRO TRIB. DT] - [RESGATE]</f>
        <v>0</v>
      </c>
    </row>
    <row r="7" spans="1:38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13" t="s">
        <v>6</v>
      </c>
      <c r="I7" s="14">
        <f>WORKDAY(NC[[#This Row],[DATA]],1,0)</f>
        <v>40982</v>
      </c>
      <c r="J7" s="21">
        <f>EOMONTH(NC[[#This Row],[DATA DE LIQUIDAÇÃO]],0)</f>
        <v>40999</v>
      </c>
      <c r="K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7" s="15">
        <f>[QTDE]*[PREÇO]</f>
        <v>160</v>
      </c>
      <c r="M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N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P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Q7" s="15">
        <f>SETUP!$E$3*SUMPRODUCT(N([DATA]=NC[[#This Row],[DATA]]),N([ID]&lt;=NC[[#This Row],[ID]]))</f>
        <v>59.6</v>
      </c>
      <c r="R7" s="15">
        <f>TRUNC([CORRETAGEM]*SETUP!$F$3,2)</f>
        <v>1.19</v>
      </c>
      <c r="S7" s="15">
        <f>ROUND([CORRETAGEM]*SETUP!$G$3,2)</f>
        <v>2.3199999999999998</v>
      </c>
      <c r="T7" s="15">
        <f>[VALOR LÍQUIDO DAS OPERAÇÕES]-[TAXA DE LIQUIDAÇÃO]-[EMOLUMENTOS]-[TAXA DE REGISTRO]-[CORRETAGEM]-[ISS]-IF(['[D/N']]="D",    0,    [OUTRAS BOVESPA])</f>
        <v>323.95999999999998</v>
      </c>
      <c r="U7" s="15">
        <f>IF(AND(['[D/N']]="D",    [T]="CV"),    ROUND([LÍQUIDO BASE]*0.01, 2),    0)</f>
        <v>0</v>
      </c>
      <c r="V7" s="15">
        <f>IF([PREÇO] &gt; 0,    [LÍQUIDO BASE]-SUMPRODUCT(N([DATA]=NC[[#This Row],[DATA]]),    [IRRF FONTE]),    0)</f>
        <v>321.98999999999995</v>
      </c>
      <c r="W7" s="15">
        <f>[LÍQUIDO]-SUMPRODUCT(N([DATA]=NC[[#This Row],[DATA]]),N([ID]=(NC[[#This Row],[ID]]-1)),[LÍQUIDO])</f>
        <v>-175.9799999999999</v>
      </c>
      <c r="X7" s="15">
        <f>IF([T] = "VC", ABS([VALOR OP]) / [QTDE], [VALOR OP]/[QTDE])</f>
        <v>-0.87989999999999957</v>
      </c>
      <c r="Y7" s="15">
        <f>TRUNC(IF(OR([T]="CV",[T]="VV"),     L7*SETUP!$H$3,     0),2)</f>
        <v>0</v>
      </c>
      <c r="Z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A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B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7" s="15">
        <f>IF([LUCRO TMP] &lt;&gt; 0, [LUCRO TMP] - SUMPRODUCT(N([ATIVO]=NC[[#This Row],[ATIVO]]),N(['[D/N']]="N"),N([ID]&lt;NC[[#This Row],[ID]]),N([PAR]=NC[[#This Row],[PAR]]), [LUCRO TMP]), 0)</f>
        <v>0</v>
      </c>
      <c r="AE7" s="15">
        <f>IF([U] = "U", SUMPRODUCT(N([ID]&lt;=NC[[#This Row],[ID]]),N([DATA BASE]=NC[[#This Row],[DATA BASE]]), N(['[D/N']] = "N"),    [LUCRO P/ OP]), 0)</f>
        <v>0</v>
      </c>
      <c r="AF7" s="15">
        <f>IF([U] = "U",[LUCRO '[N']] + SUMPRODUCT(N(MONTH([DATA BASE])&lt;MONTH(NC[[#This Row],[DATA BASE]]) ), [LUCRO '[N']]),0)</f>
        <v>0</v>
      </c>
      <c r="AG7" s="15">
        <f>IF([U] = "U", SUMPRODUCT(N([DATA BASE]=NC[[#This Row],[DATA BASE]]), N(['[D/N']] = "D"),    [LUCRO P/ OP]), 0)</f>
        <v>0</v>
      </c>
      <c r="AH7" s="20">
        <f>IF([ TRIB. '[N']] &gt; 0,     ROUND([ TRIB. '[N']]*0.15,    2),    0)</f>
        <v>0</v>
      </c>
      <c r="AI7" s="20">
        <f>IF([LUCRO TRIB. DT] &gt; 0,     ROUND([LUCRO TRIB. DT]*0.2,    2)  -  SUMPRODUCT(N([DATA BASE]=NC[[#This Row],[DATA BASE]]),    [IRRF FONTE]),    0)</f>
        <v>0</v>
      </c>
      <c r="AJ7" s="19">
        <f>[IR '[N']] + [IR DEVIDO DT]</f>
        <v>0</v>
      </c>
      <c r="AK7" s="19">
        <f>IF(AND([U] = "U",[IR DEVIDO] &gt; 0), [IR DEVIDO] + 8.9, 0)</f>
        <v>0</v>
      </c>
      <c r="AL7" s="19">
        <f>[LUCRO '[N']]  + [LUCRO TRIB. DT] - [RESGATE]</f>
        <v>0</v>
      </c>
    </row>
    <row r="8" spans="1:38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13" t="s">
        <v>6</v>
      </c>
      <c r="I8" s="14">
        <f>WORKDAY(NC[[#This Row],[DATA]],1,0)</f>
        <v>40982</v>
      </c>
      <c r="J8" s="21">
        <f>EOMONTH(NC[[#This Row],[DATA DE LIQUIDAÇÃO]],0)</f>
        <v>40999</v>
      </c>
      <c r="K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8" s="15">
        <f>[QTDE]*[PREÇO]</f>
        <v>336.00000000000006</v>
      </c>
      <c r="M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N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O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P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Q8" s="15">
        <f>SETUP!$E$3*SUMPRODUCT(N([DATA]=NC[[#This Row],[DATA]]),N([ID]&lt;=NC[[#This Row],[ID]]))</f>
        <v>74.5</v>
      </c>
      <c r="R8" s="15">
        <f>TRUNC([CORRETAGEM]*SETUP!$F$3,2)</f>
        <v>1.49</v>
      </c>
      <c r="S8" s="15">
        <f>ROUND([CORRETAGEM]*SETUP!$G$3,2)</f>
        <v>2.91</v>
      </c>
      <c r="T8" s="15">
        <f>[VALOR LÍQUIDO DAS OPERAÇÕES]-[TAXA DE LIQUIDAÇÃO]-[EMOLUMENTOS]-[TAXA DE REGISTRO]-[CORRETAGEM]-[ISS]-IF(['[D/N']]="D",    0,    [OUTRAS BOVESPA])</f>
        <v>643.72</v>
      </c>
      <c r="U8" s="15">
        <f>IF(AND(['[D/N']]="D",    [T]="CV"),    ROUND([LÍQUIDO BASE]*0.01, 2),    0)</f>
        <v>0</v>
      </c>
      <c r="V8" s="15">
        <f>IF([PREÇO] &gt; 0,    [LÍQUIDO BASE]-SUMPRODUCT(N([DATA]=NC[[#This Row],[DATA]]),    [IRRF FONTE]),    0)</f>
        <v>641.75</v>
      </c>
      <c r="W8" s="15">
        <f>[LÍQUIDO]-SUMPRODUCT(N([DATA]=NC[[#This Row],[DATA]]),N([ID]=(NC[[#This Row],[ID]]-1)),[LÍQUIDO])</f>
        <v>319.76000000000005</v>
      </c>
      <c r="X8" s="15">
        <f>IF([T] = "VC", ABS([VALOR OP]) / [QTDE], [VALOR OP]/[QTDE])</f>
        <v>0.53293333333333337</v>
      </c>
      <c r="Y8" s="15">
        <f>TRUNC(IF(OR([T]="CV",[T]="VV"),     L8*SETUP!$H$3,     0),2)</f>
        <v>0.01</v>
      </c>
      <c r="Z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B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C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D8" s="15">
        <f>IF([LUCRO TMP] &lt;&gt; 0, [LUCRO TMP] - SUMPRODUCT(N([ATIVO]=NC[[#This Row],[ATIVO]]),N(['[D/N']]="N"),N([ID]&lt;NC[[#This Row],[ID]]),N([PAR]=NC[[#This Row],[PAR]]), [LUCRO TMP]), 0)</f>
        <v>135.77999999999997</v>
      </c>
      <c r="AE8" s="15">
        <f>IF([U] = "U", SUMPRODUCT(N([ID]&lt;=NC[[#This Row],[ID]]),N([DATA BASE]=NC[[#This Row],[DATA BASE]]), N(['[D/N']] = "N"),    [LUCRO P/ OP]), 0)</f>
        <v>0</v>
      </c>
      <c r="AF8" s="15">
        <f>IF([U] = "U",[LUCRO '[N']] + SUMPRODUCT(N(MONTH([DATA BASE])&lt;MONTH(NC[[#This Row],[DATA BASE]]) ), [LUCRO '[N']]),0)</f>
        <v>0</v>
      </c>
      <c r="AG8" s="15">
        <f>IF([U] = "U", SUMPRODUCT(N([DATA BASE]=NC[[#This Row],[DATA BASE]]), N(['[D/N']] = "D"),    [LUCRO P/ OP]), 0)</f>
        <v>0</v>
      </c>
      <c r="AH8" s="20">
        <f>IF([ TRIB. '[N']] &gt; 0,     ROUND([ TRIB. '[N']]*0.15,    2),    0)</f>
        <v>0</v>
      </c>
      <c r="AI8" s="20">
        <f>IF([LUCRO TRIB. DT] &gt; 0,     ROUND([LUCRO TRIB. DT]*0.2,    2)  -  SUMPRODUCT(N([DATA BASE]=NC[[#This Row],[DATA BASE]]),    [IRRF FONTE]),    0)</f>
        <v>0</v>
      </c>
      <c r="AJ8" s="19">
        <f>[IR '[N']] + [IR DEVIDO DT]</f>
        <v>0</v>
      </c>
      <c r="AK8" s="19">
        <f>IF(AND([U] = "U",[IR DEVIDO] &gt; 0), [IR DEVIDO] + 8.9, 0)</f>
        <v>0</v>
      </c>
      <c r="AL8" s="19">
        <f>[LUCRO '[N']]  + [LUCRO TRIB. DT] - [RESGATE]</f>
        <v>0</v>
      </c>
    </row>
    <row r="9" spans="1:38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13" t="s">
        <v>14</v>
      </c>
      <c r="I9" s="14">
        <f>WORKDAY(NC[[#This Row],[DATA]],1,0)</f>
        <v>40983</v>
      </c>
      <c r="J9" s="22">
        <f>EOMONTH(NC[[#This Row],[DATA DE LIQUIDAÇÃO]],0)</f>
        <v>40999</v>
      </c>
      <c r="K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9" s="15">
        <f>[QTDE]*[PREÇO]</f>
        <v>312</v>
      </c>
      <c r="M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N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O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P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Q9" s="15">
        <f>SETUP!$E$3*SUMPRODUCT(N([DATA]=NC[[#This Row],[DATA]]),N([ID]&lt;=NC[[#This Row],[ID]]))</f>
        <v>14.9</v>
      </c>
      <c r="R9" s="15">
        <f>TRUNC([CORRETAGEM]*SETUP!$F$3,2)</f>
        <v>0.28999999999999998</v>
      </c>
      <c r="S9" s="15">
        <f>ROUND([CORRETAGEM]*SETUP!$G$3,2)</f>
        <v>0.57999999999999996</v>
      </c>
      <c r="T9" s="15">
        <f>[VALOR LÍQUIDO DAS OPERAÇÕES]-[TAXA DE LIQUIDAÇÃO]-[EMOLUMENTOS]-[TAXA DE REGISTRO]-[CORRETAGEM]-[ISS]-IF(['[D/N']]="D",    0,    [OUTRAS BOVESPA])</f>
        <v>-327.31</v>
      </c>
      <c r="U9" s="15">
        <f>IF(AND(['[D/N']]="D",    [T]="CV"),    ROUND([LÍQUIDO BASE]*0.01, 2),    0)</f>
        <v>0</v>
      </c>
      <c r="V9" s="15">
        <f>IF([PREÇO] &gt; 0,    [LÍQUIDO BASE]-SUMPRODUCT(N([DATA]=NC[[#This Row],[DATA]]),    [IRRF FONTE]),    0)</f>
        <v>-330.12</v>
      </c>
      <c r="W9" s="15">
        <f>[LÍQUIDO]-SUMPRODUCT(N([DATA]=NC[[#This Row],[DATA]]),N([ID]=(NC[[#This Row],[ID]]-1)),[LÍQUIDO])</f>
        <v>-330.12</v>
      </c>
      <c r="X9" s="15">
        <f>IF([T] = "VC", ABS([VALOR OP]) / [QTDE], [VALOR OP]/[QTDE])</f>
        <v>-0.13755000000000001</v>
      </c>
      <c r="Y9" s="15">
        <f>TRUNC(IF(OR([T]="CV",[T]="VV"),     L9*SETUP!$H$3,     0),2)</f>
        <v>0</v>
      </c>
      <c r="Z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B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9" s="15">
        <f>IF([LUCRO TMP] &lt;&gt; 0, [LUCRO TMP] - SUMPRODUCT(N([ATIVO]=NC[[#This Row],[ATIVO]]),N(['[D/N']]="N"),N([ID]&lt;NC[[#This Row],[ID]]),N([PAR]=NC[[#This Row],[PAR]]), [LUCRO TMP]), 0)</f>
        <v>0</v>
      </c>
      <c r="AE9" s="15">
        <f>IF([U] = "U", SUMPRODUCT(N([ID]&lt;=NC[[#This Row],[ID]]),N([DATA BASE]=NC[[#This Row],[DATA BASE]]), N(['[D/N']] = "N"),    [LUCRO P/ OP]), 0)</f>
        <v>0</v>
      </c>
      <c r="AF9" s="15">
        <f>IF([U] = "U",[LUCRO '[N']] + SUMPRODUCT(N(MONTH([DATA BASE])&lt;MONTH(NC[[#This Row],[DATA BASE]]) ), [LUCRO '[N']]),0)</f>
        <v>0</v>
      </c>
      <c r="AG9" s="15">
        <f>IF([U] = "U", SUMPRODUCT(N([DATA BASE]=NC[[#This Row],[DATA BASE]]), N(['[D/N']] = "D"),    [LUCRO P/ OP]), 0)</f>
        <v>0</v>
      </c>
      <c r="AH9" s="20">
        <f>IF([ TRIB. '[N']] &gt; 0,     ROUND([ TRIB. '[N']]*0.15,    2),    0)</f>
        <v>0</v>
      </c>
      <c r="AI9" s="19">
        <f>IF([LUCRO TRIB. DT] &gt; 0,     ROUND([LUCRO TRIB. DT]*0.2,    2)  -  SUMPRODUCT(N([DATA BASE]=NC[[#This Row],[DATA BASE]]),    [IRRF FONTE]),    0)</f>
        <v>0</v>
      </c>
      <c r="AJ9" s="19">
        <f>[IR '[N']] + [IR DEVIDO DT]</f>
        <v>0</v>
      </c>
      <c r="AK9" s="19">
        <f>IF(AND([U] = "U",[IR DEVIDO] &gt; 0), [IR DEVIDO] + 8.9, 0)</f>
        <v>0</v>
      </c>
      <c r="AL9" s="19">
        <f>[LUCRO '[N']]  + [LUCRO TRIB. DT] - [RESGATE]</f>
        <v>0</v>
      </c>
    </row>
    <row r="10" spans="1:38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13" t="s">
        <v>14</v>
      </c>
      <c r="I10" s="14">
        <f>WORKDAY(NC[[#This Row],[DATA]],1,0)</f>
        <v>40983</v>
      </c>
      <c r="J10" s="22">
        <f>EOMONTH(NC[[#This Row],[DATA DE LIQUIDAÇÃO]],0)</f>
        <v>40999</v>
      </c>
      <c r="K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10" s="15">
        <f>[QTDE]*[PREÇO]</f>
        <v>624</v>
      </c>
      <c r="M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N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O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P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Q10" s="15">
        <f>SETUP!$E$3*SUMPRODUCT(N([DATA]=NC[[#This Row],[DATA]]),N([ID]&lt;=NC[[#This Row],[ID]]))</f>
        <v>29.8</v>
      </c>
      <c r="R10" s="15">
        <f>TRUNC([CORRETAGEM]*SETUP!$F$3,2)</f>
        <v>0.59</v>
      </c>
      <c r="S10" s="15">
        <f>ROUND([CORRETAGEM]*SETUP!$G$3,2)</f>
        <v>1.1599999999999999</v>
      </c>
      <c r="T10" s="15">
        <f>[VALOR LÍQUIDO DAS OPERAÇÕES]-[TAXA DE LIQUIDAÇÃO]-[EMOLUMENTOS]-[TAXA DE REGISTRO]-[CORRETAGEM]-[ISS]-IF(['[D/N']]="D",    0,    [OUTRAS BOVESPA])</f>
        <v>281.2</v>
      </c>
      <c r="U10" s="15">
        <f>IF(AND(['[D/N']]="D",    [T]="CV"),    ROUND([LÍQUIDO BASE]*0.01, 2),    0)</f>
        <v>2.81</v>
      </c>
      <c r="V10" s="15">
        <f>IF([PREÇO] &gt; 0,    [LÍQUIDO BASE]-SUMPRODUCT(N([DATA]=NC[[#This Row],[DATA]]),    [IRRF FONTE]),    0)</f>
        <v>278.39</v>
      </c>
      <c r="W10" s="15">
        <f>[LÍQUIDO]-SUMPRODUCT(N([DATA]=NC[[#This Row],[DATA]]),N([ID]=(NC[[#This Row],[ID]]-1)),[LÍQUIDO])</f>
        <v>608.51</v>
      </c>
      <c r="X10" s="15">
        <f>IF([T] = "VC", ABS([VALOR OP]) / [QTDE], [VALOR OP]/[QTDE])</f>
        <v>0.2535458333333333</v>
      </c>
      <c r="Y10" s="15">
        <f>TRUNC(IF(OR([T]="CV",[T]="VV"),     L10*SETUP!$H$3,     0),2)</f>
        <v>0.03</v>
      </c>
      <c r="Z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B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C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D10" s="15">
        <f>IF([LUCRO TMP] &lt;&gt; 0, [LUCRO TMP] - SUMPRODUCT(N([ATIVO]=NC[[#This Row],[ATIVO]]),N(['[D/N']]="N"),N([ID]&lt;NC[[#This Row],[ID]]),N([PAR]=NC[[#This Row],[PAR]]), [LUCRO TMP]), 0)</f>
        <v>281.19999999999993</v>
      </c>
      <c r="AE10" s="15">
        <f>IF([U] = "U", SUMPRODUCT(N([ID]&lt;=NC[[#This Row],[ID]]),N([DATA BASE]=NC[[#This Row],[DATA BASE]]), N(['[D/N']] = "N"),    [LUCRO P/ OP]), 0)</f>
        <v>0</v>
      </c>
      <c r="AF10" s="15">
        <f>IF([U] = "U",[LUCRO '[N']] + SUMPRODUCT(N(MONTH([DATA BASE])&lt;MONTH(NC[[#This Row],[DATA BASE]]) ), [LUCRO '[N']]),0)</f>
        <v>0</v>
      </c>
      <c r="AG10" s="15">
        <f>IF([U] = "U", SUMPRODUCT(N([DATA BASE]=NC[[#This Row],[DATA BASE]]), N(['[D/N']] = "D"),    [LUCRO P/ OP]), 0)</f>
        <v>0</v>
      </c>
      <c r="AH10" s="20">
        <f>IF([ TRIB. '[N']] &gt; 0,     ROUND([ TRIB. '[N']]*0.15,    2),    0)</f>
        <v>0</v>
      </c>
      <c r="AI10" s="19">
        <f>IF([LUCRO TRIB. DT] &gt; 0,     ROUND([LUCRO TRIB. DT]*0.2,    2)  -  SUMPRODUCT(N([DATA BASE]=NC[[#This Row],[DATA BASE]]),    [IRRF FONTE]),    0)</f>
        <v>0</v>
      </c>
      <c r="AJ10" s="19">
        <f>[IR '[N']] + [IR DEVIDO DT]</f>
        <v>0</v>
      </c>
      <c r="AK10" s="19">
        <f>IF(AND([U] = "U",[IR DEVIDO] &gt; 0), [IR DEVIDO] + 8.9, 0)</f>
        <v>0</v>
      </c>
      <c r="AL10" s="19">
        <f>[LUCRO '[N']]  + [LUCRO TRIB. DT] - [RESGATE]</f>
        <v>0</v>
      </c>
    </row>
    <row r="11" spans="1:38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13" t="s">
        <v>6</v>
      </c>
      <c r="I11" s="14">
        <f>WORKDAY(NC[[#This Row],[DATA]],1,0)</f>
        <v>40983</v>
      </c>
      <c r="J11" s="22">
        <f>EOMONTH(NC[[#This Row],[DATA DE LIQUIDAÇÃO]],0)</f>
        <v>40999</v>
      </c>
      <c r="K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1" s="15">
        <f>[QTDE]*[PREÇO]</f>
        <v>312</v>
      </c>
      <c r="M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P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Q11" s="15">
        <f>SETUP!$E$3*SUMPRODUCT(N([DATA]=NC[[#This Row],[DATA]]),N([ID]&lt;=NC[[#This Row],[ID]]))</f>
        <v>44.7</v>
      </c>
      <c r="R11" s="15">
        <f>TRUNC([CORRETAGEM]*SETUP!$F$3,2)</f>
        <v>0.89</v>
      </c>
      <c r="S11" s="15">
        <f>ROUND([CORRETAGEM]*SETUP!$G$3,2)</f>
        <v>1.74</v>
      </c>
      <c r="T11" s="15">
        <f>[VALOR LÍQUIDO DAS OPERAÇÕES]-[TAXA DE LIQUIDAÇÃO]-[EMOLUMENTOS]-[TAXA DE REGISTRO]-[CORRETAGEM]-[ISS]-IF(['[D/N']]="D",    0,    [OUTRAS BOVESPA])</f>
        <v>-48.150000000000006</v>
      </c>
      <c r="U11" s="15">
        <f>IF(AND(['[D/N']]="D",    [T]="CV"),    ROUND([LÍQUIDO BASE]*0.01, 2),    0)</f>
        <v>0</v>
      </c>
      <c r="V11" s="15">
        <f>IF([PREÇO] &gt; 0,    [LÍQUIDO BASE]-SUMPRODUCT(N([DATA]=NC[[#This Row],[DATA]]),    [IRRF FONTE]),    0)</f>
        <v>-50.960000000000008</v>
      </c>
      <c r="W11" s="15">
        <f>[LÍQUIDO]-SUMPRODUCT(N([DATA]=NC[[#This Row],[DATA]]),N([ID]=(NC[[#This Row],[ID]]-1)),[LÍQUIDO])</f>
        <v>-329.35</v>
      </c>
      <c r="X11" s="15">
        <f>IF([T] = "VC", ABS([VALOR OP]) / [QTDE], [VALOR OP]/[QTDE])</f>
        <v>-0.41168750000000004</v>
      </c>
      <c r="Y11" s="15">
        <f>TRUNC(IF(OR([T]="CV",[T]="VV"),     L11*SETUP!$H$3,     0),2)</f>
        <v>0</v>
      </c>
      <c r="Z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A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B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1" s="15">
        <f>IF([LUCRO TMP] &lt;&gt; 0, [LUCRO TMP] - SUMPRODUCT(N([ATIVO]=NC[[#This Row],[ATIVO]]),N(['[D/N']]="N"),N([ID]&lt;NC[[#This Row],[ID]]),N([PAR]=NC[[#This Row],[PAR]]), [LUCRO TMP]), 0)</f>
        <v>0</v>
      </c>
      <c r="AE11" s="15">
        <f>IF([U] = "U", SUMPRODUCT(N([ID]&lt;=NC[[#This Row],[ID]]),N([DATA BASE]=NC[[#This Row],[DATA BASE]]), N(['[D/N']] = "N"),    [LUCRO P/ OP]), 0)</f>
        <v>0</v>
      </c>
      <c r="AF11" s="15">
        <f>IF([U] = "U",[LUCRO '[N']] + SUMPRODUCT(N(MONTH([DATA BASE])&lt;MONTH(NC[[#This Row],[DATA BASE]]) ), [LUCRO '[N']]),0)</f>
        <v>0</v>
      </c>
      <c r="AG11" s="15">
        <f>IF([U] = "U", SUMPRODUCT(N([DATA BASE]=NC[[#This Row],[DATA BASE]]), N(['[D/N']] = "D"),    [LUCRO P/ OP]), 0)</f>
        <v>0</v>
      </c>
      <c r="AH11" s="19">
        <f>IF([ TRIB. '[N']] &gt; 0,     ROUND([ TRIB. '[N']]*0.15,    2),    0)</f>
        <v>0</v>
      </c>
      <c r="AI11" s="19">
        <f>IF([LUCRO TRIB. DT] &gt; 0,     ROUND([LUCRO TRIB. DT]*0.2,    2)  -  SUMPRODUCT(N([DATA BASE]=NC[[#This Row],[DATA BASE]]),    [IRRF FONTE]),    0)</f>
        <v>0</v>
      </c>
      <c r="AJ11" s="19">
        <f>[IR '[N']] + [IR DEVIDO DT]</f>
        <v>0</v>
      </c>
      <c r="AK11" s="19">
        <f>IF(AND([U] = "U",[IR DEVIDO] &gt; 0), [IR DEVIDO] + 8.9, 0)</f>
        <v>0</v>
      </c>
      <c r="AL11" s="19">
        <f>[LUCRO '[N']]  + [LUCRO TRIB. DT] - [RESGATE]</f>
        <v>0</v>
      </c>
    </row>
    <row r="12" spans="1:38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13" t="s">
        <v>6</v>
      </c>
      <c r="I12" s="14">
        <f>WORKDAY(NC[[#This Row],[DATA]],1,0)</f>
        <v>40984</v>
      </c>
      <c r="J12" s="22">
        <f>EOMONTH(NC[[#This Row],[DATA DE LIQUIDAÇÃO]],0)</f>
        <v>40999</v>
      </c>
      <c r="K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2" s="15">
        <f>[QTDE]*[PREÇO]</f>
        <v>360</v>
      </c>
      <c r="M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N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O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P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Q12" s="15">
        <f>SETUP!$E$3*SUMPRODUCT(N([DATA]=NC[[#This Row],[DATA]]),N([ID]&lt;=NC[[#This Row],[ID]]))</f>
        <v>14.9</v>
      </c>
      <c r="R12" s="15">
        <f>TRUNC([CORRETAGEM]*SETUP!$F$3,2)</f>
        <v>0.28999999999999998</v>
      </c>
      <c r="S12" s="15">
        <f>ROUND([CORRETAGEM]*SETUP!$G$3,2)</f>
        <v>0.57999999999999996</v>
      </c>
      <c r="T12" s="15">
        <f>[VALOR LÍQUIDO DAS OPERAÇÕES]-[TAXA DE LIQUIDAÇÃO]-[EMOLUMENTOS]-[TAXA DE REGISTRO]-[CORRETAGEM]-[ISS]-IF(['[D/N']]="D",    0,    [OUTRAS BOVESPA])</f>
        <v>-376.23999999999995</v>
      </c>
      <c r="U12" s="15">
        <f>IF(AND(['[D/N']]="D",    [T]="CV"),    ROUND([LÍQUIDO BASE]*0.01, 2),    0)</f>
        <v>0</v>
      </c>
      <c r="V12" s="15">
        <f>IF([PREÇO] &gt; 0,    [LÍQUIDO BASE]-SUMPRODUCT(N([DATA]=NC[[#This Row],[DATA]]),    [IRRF FONTE]),    0)</f>
        <v>-376.23999999999995</v>
      </c>
      <c r="W12" s="15">
        <f>[LÍQUIDO]-SUMPRODUCT(N([DATA]=NC[[#This Row],[DATA]]),N([ID]=(NC[[#This Row],[ID]]-1)),[LÍQUIDO])</f>
        <v>-376.23999999999995</v>
      </c>
      <c r="X12" s="15">
        <f>IF([T] = "VC", ABS([VALOR OP]) / [QTDE], [VALOR OP]/[QTDE])</f>
        <v>-0.75247999999999993</v>
      </c>
      <c r="Y12" s="15">
        <f>TRUNC(IF(OR([T]="CV",[T]="VV"),     L12*SETUP!$H$3,     0),2)</f>
        <v>0</v>
      </c>
      <c r="Z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A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B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2" s="15">
        <f>IF([LUCRO TMP] &lt;&gt; 0, [LUCRO TMP] - SUMPRODUCT(N([ATIVO]=NC[[#This Row],[ATIVO]]),N(['[D/N']]="N"),N([ID]&lt;NC[[#This Row],[ID]]),N([PAR]=NC[[#This Row],[PAR]]), [LUCRO TMP]), 0)</f>
        <v>0</v>
      </c>
      <c r="AE12" s="15">
        <f>IF([U] = "U", SUMPRODUCT(N([ID]&lt;=NC[[#This Row],[ID]]),N([DATA BASE]=NC[[#This Row],[DATA BASE]]), N(['[D/N']] = "N"),    [LUCRO P/ OP]), 0)</f>
        <v>0</v>
      </c>
      <c r="AF12" s="15">
        <f>IF([U] = "U",[LUCRO '[N']] + SUMPRODUCT(N(MONTH([DATA BASE])&lt;MONTH(NC[[#This Row],[DATA BASE]]) ), [LUCRO '[N']]),0)</f>
        <v>0</v>
      </c>
      <c r="AG12" s="15">
        <f>IF([U] = "U", SUMPRODUCT(N([DATA BASE]=NC[[#This Row],[DATA BASE]]), N(['[D/N']] = "D"),    [LUCRO P/ OP]), 0)</f>
        <v>0</v>
      </c>
      <c r="AH12" s="20">
        <f>IF([ TRIB. '[N']] &gt; 0,     ROUND([ TRIB. '[N']]*0.15,    2),    0)</f>
        <v>0</v>
      </c>
      <c r="AI12" s="20">
        <f>IF([LUCRO TRIB. DT] &gt; 0,     ROUND([LUCRO TRIB. DT]*0.2,    2)  -  SUMPRODUCT(N([DATA BASE]=NC[[#This Row],[DATA BASE]]),    [IRRF FONTE]),    0)</f>
        <v>0</v>
      </c>
      <c r="AJ12" s="19">
        <f>[IR '[N']] + [IR DEVIDO DT]</f>
        <v>0</v>
      </c>
      <c r="AK12" s="19">
        <f>IF(AND([U] = "U",[IR DEVIDO] &gt; 0), [IR DEVIDO] + 8.9, 0)</f>
        <v>0</v>
      </c>
      <c r="AL12" s="19">
        <f>[LUCRO '[N']]  + [LUCRO TRIB. DT] - [RESGATE]</f>
        <v>0</v>
      </c>
    </row>
    <row r="13" spans="1:38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13" t="s">
        <v>6</v>
      </c>
      <c r="I13" s="14">
        <f>WORKDAY(NC[[#This Row],[DATA]],1,0)</f>
        <v>40987</v>
      </c>
      <c r="J13" s="22">
        <f>EOMONTH(NC[[#This Row],[DATA DE LIQUIDAÇÃO]],0)</f>
        <v>40999</v>
      </c>
      <c r="K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3" s="15">
        <f>[QTDE]*[PREÇO]</f>
        <v>168</v>
      </c>
      <c r="M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N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Q13" s="15">
        <f>SETUP!$E$3*SUMPRODUCT(N([DATA]=NC[[#This Row],[DATA]]),N([ID]&lt;=NC[[#This Row],[ID]]))</f>
        <v>14.9</v>
      </c>
      <c r="R13" s="15">
        <f>TRUNC([CORRETAGEM]*SETUP!$F$3,2)</f>
        <v>0.28999999999999998</v>
      </c>
      <c r="S13" s="15">
        <f>ROUND([CORRETAGEM]*SETUP!$G$3,2)</f>
        <v>0.57999999999999996</v>
      </c>
      <c r="T13" s="15">
        <f>[VALOR LÍQUIDO DAS OPERAÇÕES]-[TAXA DE LIQUIDAÇÃO]-[EMOLUMENTOS]-[TAXA DE REGISTRO]-[CORRETAGEM]-[ISS]-IF(['[D/N']]="D",    0,    [OUTRAS BOVESPA])</f>
        <v>152.01999999999998</v>
      </c>
      <c r="U13" s="15">
        <f>IF(AND(['[D/N']]="D",    [T]="CV"),    ROUND([LÍQUIDO BASE]*0.01, 2),    0)</f>
        <v>0</v>
      </c>
      <c r="V13" s="15">
        <f>IF([PREÇO] &gt; 0,    [LÍQUIDO BASE]-SUMPRODUCT(N([DATA]=NC[[#This Row],[DATA]]),    [IRRF FONTE]),    0)</f>
        <v>152.01999999999998</v>
      </c>
      <c r="W13" s="20">
        <f>[LÍQUIDO]-SUMPRODUCT(N([DATA]=NC[[#This Row],[DATA]]),N([ID]=(NC[[#This Row],[ID]]-1)),[LÍQUIDO])</f>
        <v>152.01999999999998</v>
      </c>
      <c r="X13" s="15">
        <f>IF([T] = "VC", ABS([VALOR OP]) / [QTDE], [VALOR OP]/[QTDE])</f>
        <v>0.19002499999999997</v>
      </c>
      <c r="Y13" s="15">
        <f>TRUNC(IF(OR([T]="CV",[T]="VV"),     L13*SETUP!$H$3,     0),2)</f>
        <v>0</v>
      </c>
      <c r="Z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B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C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D13" s="15">
        <f>IF([LUCRO TMP] &lt;&gt; 0, [LUCRO TMP] - SUMPRODUCT(N([ATIVO]=NC[[#This Row],[ATIVO]]),N(['[D/N']]="N"),N([ID]&lt;NC[[#This Row],[ID]]),N([PAR]=NC[[#This Row],[PAR]]), [LUCRO TMP]), 0)</f>
        <v>-177.33000000000004</v>
      </c>
      <c r="AE13" s="15">
        <f>IF([U] = "U", SUMPRODUCT(N([ID]&lt;=NC[[#This Row],[ID]]),N([DATA BASE]=NC[[#This Row],[DATA BASE]]), N(['[D/N']] = "N"),    [LUCRO P/ OP]), 0)</f>
        <v>0</v>
      </c>
      <c r="AF13" s="15">
        <f>IF([U] = "U",[LUCRO '[N']] + SUMPRODUCT(N(MONTH([DATA BASE])&lt;MONTH(NC[[#This Row],[DATA BASE]]) ), [LUCRO '[N']]),0)</f>
        <v>0</v>
      </c>
      <c r="AG13" s="15">
        <f>IF([U] = "U", SUMPRODUCT(N([DATA BASE]=NC[[#This Row],[DATA BASE]]), N(['[D/N']] = "D"),    [LUCRO P/ OP]), 0)</f>
        <v>0</v>
      </c>
      <c r="AH13" s="20">
        <f>IF([ TRIB. '[N']] &gt; 0,     ROUND([ TRIB. '[N']]*0.15,    2),    0)</f>
        <v>0</v>
      </c>
      <c r="AI13" s="20">
        <f>IF([LUCRO TRIB. DT] &gt; 0,     ROUND([LUCRO TRIB. DT]*0.2,    2)  -  SUMPRODUCT(N([DATA BASE]=NC[[#This Row],[DATA BASE]]),    [IRRF FONTE]),    0)</f>
        <v>0</v>
      </c>
      <c r="AJ13" s="19">
        <f>[IR '[N']] + [IR DEVIDO DT]</f>
        <v>0</v>
      </c>
      <c r="AK13" s="19">
        <f>IF(AND([U] = "U",[IR DEVIDO] &gt; 0), [IR DEVIDO] + 8.9, 0)</f>
        <v>0</v>
      </c>
      <c r="AL13" s="19">
        <f>[LUCRO '[N']]  + [LUCRO TRIB. DT] - [RESGATE]</f>
        <v>0</v>
      </c>
    </row>
    <row r="14" spans="1:38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13" t="s">
        <v>6</v>
      </c>
      <c r="I14" s="14">
        <f>WORKDAY(NC[[#This Row],[DATA]],1,0)</f>
        <v>40987</v>
      </c>
      <c r="J14" s="22">
        <f>EOMONTH(NC[[#This Row],[DATA DE LIQUIDAÇÃO]],0)</f>
        <v>40999</v>
      </c>
      <c r="K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4" s="15">
        <f>[QTDE]*[PREÇO]</f>
        <v>320</v>
      </c>
      <c r="M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N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O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P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Q14" s="15">
        <f>SETUP!$E$3*SUMPRODUCT(N([DATA]=NC[[#This Row],[DATA]]),N([ID]&lt;=NC[[#This Row],[ID]]))</f>
        <v>29.8</v>
      </c>
      <c r="R14" s="15">
        <f>TRUNC([CORRETAGEM]*SETUP!$F$3,2)</f>
        <v>0.59</v>
      </c>
      <c r="S14" s="15">
        <f>ROUND([CORRETAGEM]*SETUP!$G$3,2)</f>
        <v>1.1599999999999999</v>
      </c>
      <c r="T14" s="15">
        <f>[VALOR LÍQUIDO DAS OPERAÇÕES]-[TAXA DE LIQUIDAÇÃO]-[EMOLUMENTOS]-[TAXA DE REGISTRO]-[CORRETAGEM]-[ISS]-IF(['[D/N']]="D",    0,    [OUTRAS BOVESPA])</f>
        <v>455.81</v>
      </c>
      <c r="U14" s="15">
        <f>IF(AND(['[D/N']]="D",    [T]="CV"),    ROUND([LÍQUIDO BASE]*0.01, 2),    0)</f>
        <v>0</v>
      </c>
      <c r="V14" s="15">
        <f>IF([PREÇO] &gt; 0,    [LÍQUIDO BASE]-SUMPRODUCT(N([DATA]=NC[[#This Row],[DATA]]),    [IRRF FONTE]),    0)</f>
        <v>455.81</v>
      </c>
      <c r="W14" s="20">
        <f>[LÍQUIDO]-SUMPRODUCT(N([DATA]=NC[[#This Row],[DATA]]),N([ID]=(NC[[#This Row],[ID]]-1)),[LÍQUIDO])</f>
        <v>303.79000000000002</v>
      </c>
      <c r="X14" s="15">
        <f>IF([T] = "VC", ABS([VALOR OP]) / [QTDE], [VALOR OP]/[QTDE])</f>
        <v>0.60758000000000001</v>
      </c>
      <c r="Y14" s="15">
        <f>TRUNC(IF(OR([T]="CV",[T]="VV"),     L14*SETUP!$H$3,     0),2)</f>
        <v>0.01</v>
      </c>
      <c r="Z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B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C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D14" s="15">
        <f>IF([LUCRO TMP] &lt;&gt; 0, [LUCRO TMP] - SUMPRODUCT(N([ATIVO]=NC[[#This Row],[ATIVO]]),N(['[D/N']]="N"),N([ID]&lt;NC[[#This Row],[ID]]),N([PAR]=NC[[#This Row],[PAR]]), [LUCRO TMP]), 0)</f>
        <v>-72.44999999999996</v>
      </c>
      <c r="AE14" s="15">
        <f>IF([U] = "U", SUMPRODUCT(N([ID]&lt;=NC[[#This Row],[ID]]),N([DATA BASE]=NC[[#This Row],[DATA BASE]]), N(['[D/N']] = "N"),    [LUCRO P/ OP]), 0)</f>
        <v>0</v>
      </c>
      <c r="AF14" s="15">
        <f>IF([U] = "U",[LUCRO '[N']] + SUMPRODUCT(N(MONTH([DATA BASE])&lt;MONTH(NC[[#This Row],[DATA BASE]]) ), [LUCRO '[N']]),0)</f>
        <v>0</v>
      </c>
      <c r="AG14" s="15">
        <f>IF([U] = "U", SUMPRODUCT(N([DATA BASE]=NC[[#This Row],[DATA BASE]]), N(['[D/N']] = "D"),    [LUCRO P/ OP]), 0)</f>
        <v>0</v>
      </c>
      <c r="AH14" s="20">
        <f>IF([ TRIB. '[N']] &gt; 0,     ROUND([ TRIB. '[N']]*0.15,    2),    0)</f>
        <v>0</v>
      </c>
      <c r="AI14" s="20">
        <f>IF([LUCRO TRIB. DT] &gt; 0,     ROUND([LUCRO TRIB. DT]*0.2,    2)  -  SUMPRODUCT(N([DATA BASE]=NC[[#This Row],[DATA BASE]]),    [IRRF FONTE]),    0)</f>
        <v>0</v>
      </c>
      <c r="AJ14" s="19">
        <f>[IR '[N']] + [IR DEVIDO DT]</f>
        <v>0</v>
      </c>
      <c r="AK14" s="19">
        <f>IF(AND([U] = "U",[IR DEVIDO] &gt; 0), [IR DEVIDO] + 8.9, 0)</f>
        <v>0</v>
      </c>
      <c r="AL14" s="19">
        <f>[LUCRO '[N']]  + [LUCRO TRIB. DT] - [RESGATE]</f>
        <v>0</v>
      </c>
    </row>
    <row r="15" spans="1:38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13" t="s">
        <v>6</v>
      </c>
      <c r="I15" s="14">
        <f>WORKDAY(NC[[#This Row],[DATA]],1,0)</f>
        <v>40987</v>
      </c>
      <c r="J15" s="22">
        <f>EOMONTH(NC[[#This Row],[DATA DE LIQUIDAÇÃO]],0)</f>
        <v>40999</v>
      </c>
      <c r="K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15" s="15">
        <f>[QTDE]*[PREÇO]</f>
        <v>106</v>
      </c>
      <c r="M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N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O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P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Q15" s="15">
        <f>SETUP!$E$3*SUMPRODUCT(N([DATA]=NC[[#This Row],[DATA]]),N([ID]&lt;=NC[[#This Row],[ID]]))</f>
        <v>44.7</v>
      </c>
      <c r="R15" s="15">
        <f>TRUNC([CORRETAGEM]*SETUP!$F$3,2)</f>
        <v>0.89</v>
      </c>
      <c r="S15" s="15">
        <f>ROUND([CORRETAGEM]*SETUP!$G$3,2)</f>
        <v>1.74</v>
      </c>
      <c r="T15" s="15">
        <f>[VALOR LÍQUIDO DAS OPERAÇÕES]-[TAXA DE LIQUIDAÇÃO]-[EMOLUMENTOS]-[TAXA DE REGISTRO]-[CORRETAGEM]-[ISS]-IF(['[D/N']]="D",    0,    [OUTRAS BOVESPA])</f>
        <v>545.89</v>
      </c>
      <c r="U15" s="15">
        <f>IF(AND(['[D/N']]="D",    [T]="CV"),    ROUND([LÍQUIDO BASE]*0.01, 2),    0)</f>
        <v>0</v>
      </c>
      <c r="V15" s="15">
        <f>IF([PREÇO] &gt; 0,    [LÍQUIDO BASE]-SUMPRODUCT(N([DATA]=NC[[#This Row],[DATA]]),    [IRRF FONTE]),    0)</f>
        <v>545.89</v>
      </c>
      <c r="W15" s="20">
        <f>[LÍQUIDO]-SUMPRODUCT(N([DATA]=NC[[#This Row],[DATA]]),N([ID]=(NC[[#This Row],[ID]]-1)),[LÍQUIDO])</f>
        <v>90.079999999999984</v>
      </c>
      <c r="X15" s="15">
        <f>IF([T] = "VC", ABS([VALOR OP]) / [QTDE], [VALOR OP]/[QTDE])</f>
        <v>0.90079999999999982</v>
      </c>
      <c r="Y15" s="15">
        <f>TRUNC(IF(OR([T]="CV",[T]="VV"),     L15*SETUP!$H$3,     0),2)</f>
        <v>0</v>
      </c>
      <c r="Z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A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B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C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D15" s="15">
        <f>IF([LUCRO TMP] &lt;&gt; 0, [LUCRO TMP] - SUMPRODUCT(N([ATIVO]=NC[[#This Row],[ATIVO]]),N(['[D/N']]="N"),N([ID]&lt;NC[[#This Row],[ID]]),N([PAR]=NC[[#This Row],[PAR]]), [LUCRO TMP]), 0)</f>
        <v>2.0900000000000252</v>
      </c>
      <c r="AE15" s="15">
        <f>IF([U] = "U", SUMPRODUCT(N([ID]&lt;=NC[[#This Row],[ID]]),N([DATA BASE]=NC[[#This Row],[DATA BASE]]), N(['[D/N']] = "N"),    [LUCRO P/ OP]), 0)</f>
        <v>0</v>
      </c>
      <c r="AF15" s="15">
        <f>IF([U] = "U",[LUCRO '[N']] + SUMPRODUCT(N(MONTH([DATA BASE])&lt;MONTH(NC[[#This Row],[DATA BASE]]) ), [LUCRO '[N']]),0)</f>
        <v>0</v>
      </c>
      <c r="AG15" s="15">
        <f>IF([U] = "U", SUMPRODUCT(N([DATA BASE]=NC[[#This Row],[DATA BASE]]), N(['[D/N']] = "D"),    [LUCRO P/ OP]), 0)</f>
        <v>0</v>
      </c>
      <c r="AH15" s="20">
        <f>IF([ TRIB. '[N']] &gt; 0,     ROUND([ TRIB. '[N']]*0.15,    2),    0)</f>
        <v>0</v>
      </c>
      <c r="AI15" s="20">
        <f>IF([LUCRO TRIB. DT] &gt; 0,     ROUND([LUCRO TRIB. DT]*0.2,    2)  -  SUMPRODUCT(N([DATA BASE]=NC[[#This Row],[DATA BASE]]),    [IRRF FONTE]),    0)</f>
        <v>0</v>
      </c>
      <c r="AJ15" s="19">
        <f>[IR '[N']] + [IR DEVIDO DT]</f>
        <v>0</v>
      </c>
      <c r="AK15" s="19">
        <f>IF(AND([U] = "U",[IR DEVIDO] &gt; 0), [IR DEVIDO] + 8.9, 0)</f>
        <v>0</v>
      </c>
      <c r="AL15" s="19">
        <f>[LUCRO '[N']]  + [LUCRO TRIB. DT] - [RESGATE]</f>
        <v>0</v>
      </c>
    </row>
    <row r="16" spans="1:38" ht="11.25" customHeight="1">
      <c r="A16" s="13">
        <v>15</v>
      </c>
      <c r="B16" s="13"/>
      <c r="C16" s="13" t="s">
        <v>54</v>
      </c>
      <c r="D16" s="13" t="s">
        <v>24</v>
      </c>
      <c r="E16" s="14">
        <v>40990</v>
      </c>
      <c r="F16" s="13">
        <v>700</v>
      </c>
      <c r="G16" s="15">
        <v>0.6</v>
      </c>
      <c r="H16" s="13" t="s">
        <v>6</v>
      </c>
      <c r="I16" s="14">
        <f>WORKDAY(NC[[#This Row],[DATA]],1,0)</f>
        <v>40991</v>
      </c>
      <c r="J16" s="22">
        <f>EOMONTH(NC[[#This Row],[DATA DE LIQUIDAÇÃO]],0)</f>
        <v>40999</v>
      </c>
      <c r="K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6" s="15">
        <f>[QTDE]*[PREÇO]</f>
        <v>420</v>
      </c>
      <c r="M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N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O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P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Q16" s="15">
        <f>SETUP!$E$3*SUMPRODUCT(N([DATA]=NC[[#This Row],[DATA]]),N([ID]&lt;=NC[[#This Row],[ID]]))</f>
        <v>14.9</v>
      </c>
      <c r="R16" s="15">
        <f>TRUNC([CORRETAGEM]*SETUP!$F$3,2)</f>
        <v>0.28999999999999998</v>
      </c>
      <c r="S16" s="15">
        <f>ROUND([CORRETAGEM]*SETUP!$G$3,2)</f>
        <v>0.57999999999999996</v>
      </c>
      <c r="T16" s="15">
        <f>[VALOR LÍQUIDO DAS OPERAÇÕES]-[TAXA DE LIQUIDAÇÃO]-[EMOLUMENTOS]-[TAXA DE REGISTRO]-[CORRETAGEM]-[ISS]-IF(['[D/N']]="D",    0,    [OUTRAS BOVESPA])</f>
        <v>-436.32</v>
      </c>
      <c r="U16" s="15">
        <f>IF(AND(['[D/N']]="D",    [T]="CV"),    ROUND([LÍQUIDO BASE]*0.01, 2),    0)</f>
        <v>0</v>
      </c>
      <c r="V16" s="15">
        <f>IF([PREÇO] &gt; 0,    [LÍQUIDO BASE]-SUMPRODUCT(N([DATA]=NC[[#This Row],[DATA]]),    [IRRF FONTE]),    0)</f>
        <v>-436.32</v>
      </c>
      <c r="W16" s="20">
        <f>[LÍQUIDO]-SUMPRODUCT(N([DATA]=NC[[#This Row],[DATA]]),N([ID]=(NC[[#This Row],[ID]]-1)),[LÍQUIDO])</f>
        <v>-436.32</v>
      </c>
      <c r="X16" s="15">
        <f>IF([T] = "VC", ABS([VALOR OP]) / [QTDE], [VALOR OP]/[QTDE])</f>
        <v>-0.62331428571428571</v>
      </c>
      <c r="Y16" s="15">
        <f>TRUNC(IF(OR([T]="CV",[T]="VV"),     L16*SETUP!$H$3,     0),2)</f>
        <v>0</v>
      </c>
      <c r="Z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A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B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6" s="15">
        <f>IF([LUCRO TMP] &lt;&gt; 0, [LUCRO TMP] - SUMPRODUCT(N([ATIVO]=NC[[#This Row],[ATIVO]]),N(['[D/N']]="N"),N([ID]&lt;NC[[#This Row],[ID]]),N([PAR]=NC[[#This Row],[PAR]]), [LUCRO TMP]), 0)</f>
        <v>0</v>
      </c>
      <c r="AE16" s="15">
        <f>IF([U] = "U", SUMPRODUCT(N([ID]&lt;=NC[[#This Row],[ID]]),N([DATA BASE]=NC[[#This Row],[DATA BASE]]), N(['[D/N']] = "N"),    [LUCRO P/ OP]), 0)</f>
        <v>0</v>
      </c>
      <c r="AF16" s="15">
        <f>IF([U] = "U",[LUCRO '[N']] + SUMPRODUCT(N(MONTH([DATA BASE])&lt;MONTH(NC[[#This Row],[DATA BASE]]) ), [LUCRO '[N']]),0)</f>
        <v>0</v>
      </c>
      <c r="AG16" s="15">
        <f>IF([U] = "U", SUMPRODUCT(N([DATA BASE]=NC[[#This Row],[DATA BASE]]), N(['[D/N']] = "D"),    [LUCRO P/ OP]), 0)</f>
        <v>0</v>
      </c>
      <c r="AH16" s="20">
        <f>IF([ TRIB. '[N']] &gt; 0,     ROUND([ TRIB. '[N']]*0.15,    2),    0)</f>
        <v>0</v>
      </c>
      <c r="AI16" s="20">
        <f>IF([LUCRO TRIB. DT] &gt; 0,     ROUND([LUCRO TRIB. DT]*0.2,    2)  -  SUMPRODUCT(N([DATA BASE]=NC[[#This Row],[DATA BASE]]),    [IRRF FONTE]),    0)</f>
        <v>0</v>
      </c>
      <c r="AJ16" s="19">
        <f>[IR '[N']] + [IR DEVIDO DT]</f>
        <v>0</v>
      </c>
      <c r="AK16" s="20">
        <f>IF(AND([U] = "U",[IR DEVIDO] &gt; 0), [IR DEVIDO] + 8.9, 0)</f>
        <v>0</v>
      </c>
      <c r="AL16" s="19">
        <f>[LUCRO '[N']]  + [LUCRO TRIB. DT] - [RESGATE]</f>
        <v>0</v>
      </c>
    </row>
    <row r="17" spans="1:38" ht="11.25" customHeight="1">
      <c r="A17" s="13">
        <v>16</v>
      </c>
      <c r="B17" s="13"/>
      <c r="C17" s="13" t="s">
        <v>55</v>
      </c>
      <c r="D17" s="13" t="s">
        <v>24</v>
      </c>
      <c r="E17" s="14">
        <v>40991</v>
      </c>
      <c r="F17" s="13">
        <v>1700</v>
      </c>
      <c r="G17" s="15">
        <v>0.26</v>
      </c>
      <c r="H17" s="13" t="s">
        <v>6</v>
      </c>
      <c r="I17" s="14">
        <f>WORKDAY(NC[[#This Row],[DATA]],1,0)</f>
        <v>40994</v>
      </c>
      <c r="J17" s="22">
        <f>EOMONTH(NC[[#This Row],[DATA DE LIQUIDAÇÃO]],0)</f>
        <v>40999</v>
      </c>
      <c r="K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17" s="15">
        <f>[QTDE]*[PREÇO]</f>
        <v>442</v>
      </c>
      <c r="M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N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O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P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Q17" s="15">
        <f>SETUP!$E$3*SUMPRODUCT(N([DATA]=NC[[#This Row],[DATA]]),N([ID]&lt;=NC[[#This Row],[ID]]))</f>
        <v>14.9</v>
      </c>
      <c r="R17" s="15">
        <f>TRUNC([CORRETAGEM]*SETUP!$F$3,2)</f>
        <v>0.28999999999999998</v>
      </c>
      <c r="S17" s="15">
        <f>ROUND([CORRETAGEM]*SETUP!$G$3,2)</f>
        <v>0.57999999999999996</v>
      </c>
      <c r="T17" s="15">
        <f>[VALOR LÍQUIDO DAS OPERAÇÕES]-[TAXA DE LIQUIDAÇÃO]-[EMOLUMENTOS]-[TAXA DE REGISTRO]-[CORRETAGEM]-[ISS]-IF(['[D/N']]="D",    0,    [OUTRAS BOVESPA])</f>
        <v>-458.35</v>
      </c>
      <c r="U17" s="15">
        <f>IF(AND(['[D/N']]="D",    [T]="CV"),    ROUND([LÍQUIDO BASE]*0.01, 2),    0)</f>
        <v>0</v>
      </c>
      <c r="V17" s="15">
        <f>IF([PREÇO] &gt; 0,    [LÍQUIDO BASE]-SUMPRODUCT(N([DATA]=NC[[#This Row],[DATA]]),    [IRRF FONTE]),    0)</f>
        <v>-458.35</v>
      </c>
      <c r="W17" s="20">
        <f>[LÍQUIDO]-SUMPRODUCT(N([DATA]=NC[[#This Row],[DATA]]),N([ID]=(NC[[#This Row],[ID]]-1)),[LÍQUIDO])</f>
        <v>-458.35</v>
      </c>
      <c r="X17" s="15">
        <f>IF([T] = "VC", ABS([VALOR OP]) / [QTDE], [VALOR OP]/[QTDE])</f>
        <v>-0.26961764705882352</v>
      </c>
      <c r="Y17" s="15">
        <f>TRUNC(IF(OR([T]="CV",[T]="VV"),     L17*SETUP!$H$3,     0),2)</f>
        <v>0</v>
      </c>
      <c r="Z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A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B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7" s="15">
        <f>IF([LUCRO TMP] &lt;&gt; 0, [LUCRO TMP] - SUMPRODUCT(N([ATIVO]=NC[[#This Row],[ATIVO]]),N(['[D/N']]="N"),N([ID]&lt;NC[[#This Row],[ID]]),N([PAR]=NC[[#This Row],[PAR]]), [LUCRO TMP]), 0)</f>
        <v>0</v>
      </c>
      <c r="AE17" s="15">
        <f>IF([U] = "U", SUMPRODUCT(N([ID]&lt;=NC[[#This Row],[ID]]),N([DATA BASE]=NC[[#This Row],[DATA BASE]]), N(['[D/N']] = "N"),    [LUCRO P/ OP]), 0)</f>
        <v>0</v>
      </c>
      <c r="AF17" s="15">
        <f>IF([U] = "U",[LUCRO '[N']] + SUMPRODUCT(N(MONTH([DATA BASE])&lt;MONTH(NC[[#This Row],[DATA BASE]]) ), [LUCRO '[N']]),0)</f>
        <v>0</v>
      </c>
      <c r="AG17" s="15">
        <f>IF([U] = "U", SUMPRODUCT(N([DATA BASE]=NC[[#This Row],[DATA BASE]]), N(['[D/N']] = "D"),    [LUCRO P/ OP]), 0)</f>
        <v>0</v>
      </c>
      <c r="AH17" s="20">
        <f>IF([ TRIB. '[N']] &gt; 0,     ROUND([ TRIB. '[N']]*0.15,    2),    0)</f>
        <v>0</v>
      </c>
      <c r="AI17" s="20">
        <f>IF([LUCRO TRIB. DT] &gt; 0,     ROUND([LUCRO TRIB. DT]*0.2,    2)  -  SUMPRODUCT(N([DATA BASE]=NC[[#This Row],[DATA BASE]]),    [IRRF FONTE]),    0)</f>
        <v>0</v>
      </c>
      <c r="AJ17" s="19">
        <f>[IR '[N']] + [IR DEVIDO DT]</f>
        <v>0</v>
      </c>
      <c r="AK17" s="20">
        <f>IF(AND([U] = "U",[IR DEVIDO] &gt; 0), [IR DEVIDO] + 8.9, 0)</f>
        <v>0</v>
      </c>
      <c r="AL17" s="19">
        <f>[LUCRO '[N']]  + [LUCRO TRIB. DT] - [RESGATE]</f>
        <v>0</v>
      </c>
    </row>
    <row r="18" spans="1:38" ht="11.25" customHeight="1">
      <c r="A18" s="13">
        <v>17</v>
      </c>
      <c r="B18" s="13"/>
      <c r="C18" s="13" t="s">
        <v>54</v>
      </c>
      <c r="D18" s="13" t="s">
        <v>25</v>
      </c>
      <c r="E18" s="14">
        <v>40994</v>
      </c>
      <c r="F18" s="13">
        <v>700</v>
      </c>
      <c r="G18" s="15">
        <v>0.17</v>
      </c>
      <c r="H18" s="13" t="s">
        <v>6</v>
      </c>
      <c r="I18" s="14">
        <f>WORKDAY(NC[[#This Row],[DATA]],1,0)</f>
        <v>40995</v>
      </c>
      <c r="J18" s="22">
        <f>EOMONTH(NC[[#This Row],[DATA DE LIQUIDAÇÃO]],0)</f>
        <v>40999</v>
      </c>
      <c r="K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8" s="15">
        <f>[QTDE]*[PREÇO]</f>
        <v>119.00000000000001</v>
      </c>
      <c r="M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N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O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P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Q18" s="15">
        <f>SETUP!$E$3*SUMPRODUCT(N([DATA]=NC[[#This Row],[DATA]]),N([ID]&lt;=NC[[#This Row],[ID]]))</f>
        <v>14.9</v>
      </c>
      <c r="R18" s="15">
        <f>TRUNC([CORRETAGEM]*SETUP!$F$3,2)</f>
        <v>0.28999999999999998</v>
      </c>
      <c r="S18" s="15">
        <f>ROUND([CORRETAGEM]*SETUP!$G$3,2)</f>
        <v>0.57999999999999996</v>
      </c>
      <c r="T18" s="15">
        <f>[VALOR LÍQUIDO DAS OPERAÇÕES]-[TAXA DE LIQUIDAÇÃO]-[EMOLUMENTOS]-[TAXA DE REGISTRO]-[CORRETAGEM]-[ISS]-IF(['[D/N']]="D",    0,    [OUTRAS BOVESPA])</f>
        <v>103.08</v>
      </c>
      <c r="U18" s="15">
        <f>IF(AND(['[D/N']]="D",    [T]="CV"),    ROUND([LÍQUIDO BASE]*0.01, 2),    0)</f>
        <v>0</v>
      </c>
      <c r="V18" s="15">
        <f>IF([PREÇO] &gt; 0,    [LÍQUIDO BASE]-SUMPRODUCT(N([DATA]=NC[[#This Row],[DATA]]),    [IRRF FONTE]),    0)</f>
        <v>103.08</v>
      </c>
      <c r="W18" s="20">
        <f>[LÍQUIDO]-SUMPRODUCT(N([DATA]=NC[[#This Row],[DATA]]),N([ID]=(NC[[#This Row],[ID]]-1)),[LÍQUIDO])</f>
        <v>103.08</v>
      </c>
      <c r="X18" s="15">
        <f>IF([T] = "VC", ABS([VALOR OP]) / [QTDE], [VALOR OP]/[QTDE])</f>
        <v>0.14725714285714286</v>
      </c>
      <c r="Y18" s="15">
        <f>TRUNC(IF(OR([T]="CV",[T]="VV"),     L18*SETUP!$H$3,     0),2)</f>
        <v>0</v>
      </c>
      <c r="Z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B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C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D18" s="15">
        <f>IF([LUCRO TMP] &lt;&gt; 0, [LUCRO TMP] - SUMPRODUCT(N([ATIVO]=NC[[#This Row],[ATIVO]]),N(['[D/N']]="N"),N([ID]&lt;NC[[#This Row],[ID]]),N([PAR]=NC[[#This Row],[PAR]]), [LUCRO TMP]), 0)</f>
        <v>-333.24</v>
      </c>
      <c r="AE18" s="15">
        <f>IF([U] = "U", SUMPRODUCT(N([ID]&lt;=NC[[#This Row],[ID]]),N([DATA BASE]=NC[[#This Row],[DATA BASE]]), N(['[D/N']] = "N"),    [LUCRO P/ OP]), 0)</f>
        <v>0</v>
      </c>
      <c r="AF18" s="15">
        <f>IF([U] = "U",[LUCRO '[N']] + SUMPRODUCT(N(MONTH([DATA BASE])&lt;MONTH(NC[[#This Row],[DATA BASE]]) ), [LUCRO '[N']]),0)</f>
        <v>0</v>
      </c>
      <c r="AG18" s="15">
        <f>IF([U] = "U", SUMPRODUCT(N([DATA BASE]=NC[[#This Row],[DATA BASE]]), N(['[D/N']] = "D"),    [LUCRO P/ OP]), 0)</f>
        <v>0</v>
      </c>
      <c r="AH18" s="20">
        <f>IF([ TRIB. '[N']] &gt; 0,     ROUND([ TRIB. '[N']]*0.15,    2),    0)</f>
        <v>0</v>
      </c>
      <c r="AI18" s="20">
        <f>IF([LUCRO TRIB. DT] &gt; 0,     ROUND([LUCRO TRIB. DT]*0.2,    2)  -  SUMPRODUCT(N([DATA BASE]=NC[[#This Row],[DATA BASE]]),    [IRRF FONTE]),    0)</f>
        <v>0</v>
      </c>
      <c r="AJ18" s="19">
        <f>[IR '[N']] + [IR DEVIDO DT]</f>
        <v>0</v>
      </c>
      <c r="AK18" s="20">
        <f>IF(AND([U] = "U",[IR DEVIDO] &gt; 0), [IR DEVIDO] + 8.9, 0)</f>
        <v>0</v>
      </c>
      <c r="AL18" s="19">
        <f>[LUCRO '[N']]  + [LUCRO TRIB. DT] - [RESGATE]</f>
        <v>0</v>
      </c>
    </row>
    <row r="19" spans="1:38" ht="11.25" customHeight="1">
      <c r="A19" s="13">
        <v>18</v>
      </c>
      <c r="B19" s="13"/>
      <c r="C19" s="13" t="s">
        <v>55</v>
      </c>
      <c r="D19" s="13" t="s">
        <v>25</v>
      </c>
      <c r="E19" s="14">
        <v>40997</v>
      </c>
      <c r="F19" s="13">
        <v>1700</v>
      </c>
      <c r="G19" s="15">
        <v>0.08</v>
      </c>
      <c r="H19" s="13" t="s">
        <v>6</v>
      </c>
      <c r="I19" s="14">
        <f>WORKDAY(NC[[#This Row],[DATA]],1,0)</f>
        <v>40998</v>
      </c>
      <c r="J19" s="22">
        <f>EOMONTH(NC[[#This Row],[DATA DE LIQUIDAÇÃO]],0)</f>
        <v>40999</v>
      </c>
      <c r="K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19" s="15">
        <f>[QTDE]*[PREÇO]</f>
        <v>136</v>
      </c>
      <c r="M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N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O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P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Q19" s="15">
        <f>SETUP!$E$3*SUMPRODUCT(N([DATA]=NC[[#This Row],[DATA]]),N([ID]&lt;=NC[[#This Row],[ID]]))</f>
        <v>14.9</v>
      </c>
      <c r="R19" s="15">
        <f>TRUNC([CORRETAGEM]*SETUP!$F$3,2)</f>
        <v>0.28999999999999998</v>
      </c>
      <c r="S19" s="15">
        <f>ROUND([CORRETAGEM]*SETUP!$G$3,2)</f>
        <v>0.57999999999999996</v>
      </c>
      <c r="T19" s="15">
        <f>[VALOR LÍQUIDO DAS OPERAÇÕES]-[TAXA DE LIQUIDAÇÃO]-[EMOLUMENTOS]-[TAXA DE REGISTRO]-[CORRETAGEM]-[ISS]-IF(['[D/N']]="D",    0,    [OUTRAS BOVESPA])</f>
        <v>120.05999999999997</v>
      </c>
      <c r="U19" s="15">
        <f>IF(AND(['[D/N']]="D",    [T]="CV"),    ROUND([LÍQUIDO BASE]*0.01, 2),    0)</f>
        <v>0</v>
      </c>
      <c r="V19" s="15">
        <f>IF([PREÇO] &gt; 0,    [LÍQUIDO BASE]-SUMPRODUCT(N([DATA]=NC[[#This Row],[DATA]]),    [IRRF FONTE]),    0)</f>
        <v>120.05999999999997</v>
      </c>
      <c r="W19" s="20">
        <f>[LÍQUIDO]-SUMPRODUCT(N([DATA]=NC[[#This Row],[DATA]]),N([ID]=(NC[[#This Row],[ID]]-1)),[LÍQUIDO])</f>
        <v>120.05999999999997</v>
      </c>
      <c r="X19" s="15">
        <f>IF([T] = "VC", ABS([VALOR OP]) / [QTDE], [VALOR OP]/[QTDE])</f>
        <v>7.0623529411764696E-2</v>
      </c>
      <c r="Y19" s="15">
        <f>TRUNC(IF(OR([T]="CV",[T]="VV"),     L19*SETUP!$H$3,     0),2)</f>
        <v>0</v>
      </c>
      <c r="Z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B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C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D19" s="15">
        <f>IF([LUCRO TMP] &lt;&gt; 0, [LUCRO TMP] - SUMPRODUCT(N([ATIVO]=NC[[#This Row],[ATIVO]]),N(['[D/N']]="N"),N([ID]&lt;NC[[#This Row],[ID]]),N([PAR]=NC[[#This Row],[PAR]]), [LUCRO TMP]), 0)</f>
        <v>-338.29</v>
      </c>
      <c r="AE19" s="15">
        <f>IF([U] = "U", SUMPRODUCT(N([ID]&lt;=NC[[#This Row],[ID]]),N([DATA BASE]=NC[[#This Row],[DATA BASE]]), N(['[D/N']] = "N"),    [LUCRO P/ OP]), 0)</f>
        <v>0</v>
      </c>
      <c r="AF19" s="15">
        <f>IF([U] = "U",[LUCRO '[N']] + SUMPRODUCT(N(MONTH([DATA BASE])&lt;MONTH(NC[[#This Row],[DATA BASE]]) ), [LUCRO '[N']]),0)</f>
        <v>0</v>
      </c>
      <c r="AG19" s="15">
        <f>IF([U] = "U", SUMPRODUCT(N([DATA BASE]=NC[[#This Row],[DATA BASE]]), N(['[D/N']] = "D"),    [LUCRO P/ OP]), 0)</f>
        <v>0</v>
      </c>
      <c r="AH19" s="20">
        <f>IF([ TRIB. '[N']] &gt; 0,     ROUND([ TRIB. '[N']]*0.15,    2),    0)</f>
        <v>0</v>
      </c>
      <c r="AI19" s="20">
        <f>IF([LUCRO TRIB. DT] &gt; 0,     ROUND([LUCRO TRIB. DT]*0.2,    2)  -  SUMPRODUCT(N([DATA BASE]=NC[[#This Row],[DATA BASE]]),    [IRRF FONTE]),    0)</f>
        <v>0</v>
      </c>
      <c r="AJ19" s="19">
        <f>[IR '[N']] + [IR DEVIDO DT]</f>
        <v>0</v>
      </c>
      <c r="AK19" s="20">
        <f>IF(AND([U] = "U",[IR DEVIDO] &gt; 0), [IR DEVIDO] + 8.9, 0)</f>
        <v>0</v>
      </c>
      <c r="AL19" s="19">
        <f>[LUCRO '[N']]  + [LUCRO TRIB. DT] - [RESGATE]</f>
        <v>0</v>
      </c>
    </row>
    <row r="20" spans="1:38" ht="11.25" customHeight="1">
      <c r="A20" s="13">
        <v>19</v>
      </c>
      <c r="B20" s="13" t="s">
        <v>53</v>
      </c>
      <c r="C20" s="13" t="s">
        <v>56</v>
      </c>
      <c r="D20" s="13" t="s">
        <v>24</v>
      </c>
      <c r="E20" s="14">
        <v>40997</v>
      </c>
      <c r="F20" s="13">
        <v>1900</v>
      </c>
      <c r="G20" s="15">
        <v>0.24</v>
      </c>
      <c r="H20" s="13" t="s">
        <v>6</v>
      </c>
      <c r="I20" s="14">
        <f>WORKDAY(NC[[#This Row],[DATA]],1,0)</f>
        <v>40998</v>
      </c>
      <c r="J20" s="22">
        <f>EOMONTH(NC[[#This Row],[DATA DE LIQUIDAÇÃO]],0)</f>
        <v>40999</v>
      </c>
      <c r="K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0" s="15">
        <f>[QTDE]*[PREÇO]</f>
        <v>456</v>
      </c>
      <c r="M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N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O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P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Q20" s="15">
        <f>SETUP!$E$3*SUMPRODUCT(N([DATA]=NC[[#This Row],[DATA]]),N([ID]&lt;=NC[[#This Row],[ID]]))</f>
        <v>29.8</v>
      </c>
      <c r="R20" s="15">
        <f>TRUNC([CORRETAGEM]*SETUP!$F$3,2)</f>
        <v>0.59</v>
      </c>
      <c r="S20" s="15">
        <f>ROUND([CORRETAGEM]*SETUP!$G$3,2)</f>
        <v>1.1599999999999999</v>
      </c>
      <c r="T20" s="15">
        <f>[VALOR LÍQUIDO DAS OPERAÇÕES]-[TAXA DE LIQUIDAÇÃO]-[EMOLUMENTOS]-[TAXA DE REGISTRO]-[CORRETAGEM]-[ISS]-IF(['[D/N']]="D",    0,    [OUTRAS BOVESPA])</f>
        <v>-352.33000000000004</v>
      </c>
      <c r="U20" s="15">
        <f>IF(AND(['[D/N']]="D",    [T]="CV"),    ROUND([LÍQUIDO BASE]*0.01, 2),    0)</f>
        <v>0</v>
      </c>
      <c r="V20" s="15">
        <f>IF([PREÇO] &gt; 0,    [LÍQUIDO BASE]-SUMPRODUCT(N([DATA]=NC[[#This Row],[DATA]]),    [IRRF FONTE]),    0)</f>
        <v>-352.33000000000004</v>
      </c>
      <c r="W20" s="20">
        <f>[LÍQUIDO]-SUMPRODUCT(N([DATA]=NC[[#This Row],[DATA]]),N([ID]=(NC[[#This Row],[ID]]-1)),[LÍQUIDO])</f>
        <v>-472.39</v>
      </c>
      <c r="X20" s="15">
        <f>IF([T] = "VC", ABS([VALOR OP]) / [QTDE], [VALOR OP]/[QTDE])</f>
        <v>-0.24862631578947367</v>
      </c>
      <c r="Y20" s="15">
        <f>TRUNC(IF(OR([T]="CV",[T]="VV"),     L20*SETUP!$H$3,     0),2)</f>
        <v>0</v>
      </c>
      <c r="Z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A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B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0" s="15">
        <f>IF([LUCRO TMP] &lt;&gt; 0, [LUCRO TMP] - SUMPRODUCT(N([ATIVO]=NC[[#This Row],[ATIVO]]),N(['[D/N']]="N"),N([ID]&lt;NC[[#This Row],[ID]]),N([PAR]=NC[[#This Row],[PAR]]), [LUCRO TMP]), 0)</f>
        <v>0</v>
      </c>
      <c r="AE20" s="15">
        <f>IF([U] = "U", SUMPRODUCT(N([ID]&lt;=NC[[#This Row],[ID]]),N([DATA BASE]=NC[[#This Row],[DATA BASE]]), N(['[D/N']] = "N"),    [LUCRO P/ OP]), 0)</f>
        <v>-656.81000000000017</v>
      </c>
      <c r="AF20" s="15">
        <f>IF([U] = "U",[LUCRO '[N']] + SUMPRODUCT(N(MONTH([DATA BASE])&lt;MONTH(NC[[#This Row],[DATA BASE]]) ), [LUCRO '[N']]),0)</f>
        <v>-656.81000000000017</v>
      </c>
      <c r="AG20" s="15">
        <f>IF([U] = "U", SUMPRODUCT(N([DATA BASE]=NC[[#This Row],[DATA BASE]]), N(['[D/N']] = "D"),    [LUCRO P/ OP]), 0)</f>
        <v>478.50999999999988</v>
      </c>
      <c r="AH20" s="20">
        <f>IF([ TRIB. '[N']] &gt; 0,     ROUND([ TRIB. '[N']]*0.15,    2),    0)</f>
        <v>0</v>
      </c>
      <c r="AI20" s="20">
        <f>IF([LUCRO TRIB. DT] &gt; 0,     ROUND([LUCRO TRIB. DT]*0.2,    2)  -  SUMPRODUCT(N([DATA BASE]=NC[[#This Row],[DATA BASE]]),    [IRRF FONTE]),    0)</f>
        <v>90.92</v>
      </c>
      <c r="AJ20" s="19">
        <f>[IR '[N']] + [IR DEVIDO DT]</f>
        <v>90.92</v>
      </c>
      <c r="AK20" s="20">
        <f>IF(AND([U] = "U",[IR DEVIDO] &gt; 0), [IR DEVIDO] + 8.9, 0)</f>
        <v>99.820000000000007</v>
      </c>
      <c r="AL20" s="19">
        <f>[LUCRO '[N']]  + [LUCRO TRIB. DT] - [RESGATE]</f>
        <v>-278.12000000000029</v>
      </c>
    </row>
    <row r="21" spans="1:38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13" t="s">
        <v>6</v>
      </c>
      <c r="I21" s="14">
        <f>WORKDAY(NC[[#This Row],[DATA]],1,0)</f>
        <v>41001</v>
      </c>
      <c r="J21" s="22">
        <f>EOMONTH(NC[[#This Row],[DATA DE LIQUIDAÇÃO]],0)</f>
        <v>41029</v>
      </c>
      <c r="K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21" s="15">
        <f>[QTDE]*[PREÇO]</f>
        <v>456</v>
      </c>
      <c r="M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N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O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P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Q21" s="15">
        <f>SETUP!$E$3*SUMPRODUCT(N([DATA]=NC[[#This Row],[DATA]]),N([ID]&lt;=NC[[#This Row],[ID]]))</f>
        <v>14.9</v>
      </c>
      <c r="R21" s="15">
        <f>TRUNC([CORRETAGEM]*SETUP!$F$3,2)</f>
        <v>0.28999999999999998</v>
      </c>
      <c r="S21" s="15">
        <f>ROUND([CORRETAGEM]*SETUP!$G$3,2)</f>
        <v>0.57999999999999996</v>
      </c>
      <c r="T21" s="15">
        <f>[VALOR LÍQUIDO DAS OPERAÇÕES]-[TAXA DE LIQUIDAÇÃO]-[EMOLUMENTOS]-[TAXA DE REGISTRO]-[CORRETAGEM]-[ISS]-IF(['[D/N']]="D",    0,    [OUTRAS BOVESPA])</f>
        <v>-472.36</v>
      </c>
      <c r="U21" s="15">
        <f>IF(AND(['[D/N']]="D",    [T]="CV"),    ROUND([LÍQUIDO BASE]*0.01, 2),    0)</f>
        <v>0</v>
      </c>
      <c r="V21" s="15">
        <f>IF([PREÇO] &gt; 0,    [LÍQUIDO BASE]-SUMPRODUCT(N([DATA]=NC[[#This Row],[DATA]]),    [IRRF FONTE]),    0)</f>
        <v>-472.36</v>
      </c>
      <c r="W21" s="20">
        <f>[LÍQUIDO]-SUMPRODUCT(N([DATA]=NC[[#This Row],[DATA]]),N([ID]=(NC[[#This Row],[ID]]-1)),[LÍQUIDO])</f>
        <v>-472.36</v>
      </c>
      <c r="X21" s="15">
        <f>IF([T] = "VC", ABS([VALOR OP]) / [QTDE], [VALOR OP]/[QTDE])</f>
        <v>-0.39363333333333334</v>
      </c>
      <c r="Y21" s="15">
        <f>TRUNC(IF(OR([T]="CV",[T]="VV"),     L21*SETUP!$H$3,     0),2)</f>
        <v>0</v>
      </c>
      <c r="Z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A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B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1" s="15">
        <f>IF([LUCRO TMP] &lt;&gt; 0, [LUCRO TMP] - SUMPRODUCT(N([ATIVO]=NC[[#This Row],[ATIVO]]),N(['[D/N']]="N"),N([ID]&lt;NC[[#This Row],[ID]]),N([PAR]=NC[[#This Row],[PAR]]), [LUCRO TMP]), 0)</f>
        <v>0</v>
      </c>
      <c r="AE21" s="15">
        <f>IF([U] = "U", SUMPRODUCT(N([ID]&lt;=NC[[#This Row],[ID]]),N([DATA BASE]=NC[[#This Row],[DATA BASE]]), N(['[D/N']] = "N"),    [LUCRO P/ OP]), 0)</f>
        <v>0</v>
      </c>
      <c r="AF21" s="15">
        <f>IF([U] = "U",[LUCRO '[N']] + SUMPRODUCT(N(MONTH([DATA BASE])&lt;MONTH(NC[[#This Row],[DATA BASE]]) ), [LUCRO '[N']]),0)</f>
        <v>0</v>
      </c>
      <c r="AG21" s="15">
        <f>IF([U] = "U", SUMPRODUCT(N([DATA BASE]=NC[[#This Row],[DATA BASE]]), N(['[D/N']] = "D"),    [LUCRO P/ OP]), 0)</f>
        <v>0</v>
      </c>
      <c r="AH21" s="20">
        <f>IF([ TRIB. '[N']] &gt; 0,     ROUND([ TRIB. '[N']]*0.15,    2),    0)</f>
        <v>0</v>
      </c>
      <c r="AI21" s="20">
        <f>IF([LUCRO TRIB. DT] &gt; 0,     ROUND([LUCRO TRIB. DT]*0.2,    2)  -  SUMPRODUCT(N([DATA BASE]=NC[[#This Row],[DATA BASE]]),    [IRRF FONTE]),    0)</f>
        <v>0</v>
      </c>
      <c r="AJ21" s="19">
        <f>[IR '[N']] + [IR DEVIDO DT]</f>
        <v>0</v>
      </c>
      <c r="AK21" s="20">
        <f>IF(AND([U] = "U",[IR DEVIDO] &gt; 0), [IR DEVIDO] + 8.9, 0)</f>
        <v>0</v>
      </c>
      <c r="AL21" s="20">
        <f>[LUCRO '[N']]  + [LUCRO TRIB. DT] - [RESGATE]</f>
        <v>0</v>
      </c>
    </row>
    <row r="22" spans="1:38" ht="11.25" customHeight="1">
      <c r="A22" s="13">
        <v>21</v>
      </c>
      <c r="B22" s="13"/>
      <c r="C22" s="13" t="s">
        <v>55</v>
      </c>
      <c r="D22" s="13" t="s">
        <v>24</v>
      </c>
      <c r="E22" s="14">
        <v>41001</v>
      </c>
      <c r="F22" s="13">
        <v>3000</v>
      </c>
      <c r="G22" s="15">
        <v>0.16</v>
      </c>
      <c r="H22" s="13" t="s">
        <v>6</v>
      </c>
      <c r="I22" s="14">
        <f>WORKDAY(NC[[#This Row],[DATA]],1,0)</f>
        <v>41002</v>
      </c>
      <c r="J22" s="22">
        <f>EOMONTH(NC[[#This Row],[DATA DE LIQUIDAÇÃO]],0)</f>
        <v>41029</v>
      </c>
      <c r="K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L22" s="15">
        <f>[QTDE]*[PREÇO]</f>
        <v>480</v>
      </c>
      <c r="M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N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O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P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Q22" s="15">
        <f>SETUP!$E$3*SUMPRODUCT(N([DATA]=NC[[#This Row],[DATA]]),N([ID]&lt;=NC[[#This Row],[ID]]))</f>
        <v>14.9</v>
      </c>
      <c r="R22" s="15">
        <f>TRUNC([CORRETAGEM]*SETUP!$F$3,2)</f>
        <v>0.28999999999999998</v>
      </c>
      <c r="S22" s="15">
        <f>ROUND([CORRETAGEM]*SETUP!$G$3,2)</f>
        <v>0.57999999999999996</v>
      </c>
      <c r="T22" s="15">
        <f>[VALOR LÍQUIDO DAS OPERAÇÕES]-[TAXA DE LIQUIDAÇÃO]-[EMOLUMENTOS]-[TAXA DE REGISTRO]-[CORRETAGEM]-[ISS]-IF(['[D/N']]="D",    0,    [OUTRAS BOVESPA])</f>
        <v>-496.4</v>
      </c>
      <c r="U22" s="15">
        <f>IF(AND(['[D/N']]="D",    [T]="CV"),    ROUND([LÍQUIDO BASE]*0.01, 2),    0)</f>
        <v>0</v>
      </c>
      <c r="V22" s="15">
        <f>IF([PREÇO] &gt; 0,    [LÍQUIDO BASE]-SUMPRODUCT(N([DATA]=NC[[#This Row],[DATA]]),    [IRRF FONTE]),    0)</f>
        <v>-496.4</v>
      </c>
      <c r="W22" s="20">
        <f>[LÍQUIDO]-SUMPRODUCT(N([DATA]=NC[[#This Row],[DATA]]),N([ID]=(NC[[#This Row],[ID]]-1)),[LÍQUIDO])</f>
        <v>-496.4</v>
      </c>
      <c r="X22" s="15">
        <f>IF([T] = "VC", ABS([VALOR OP]) / [QTDE], [VALOR OP]/[QTDE])</f>
        <v>-0.16546666666666665</v>
      </c>
      <c r="Y22" s="15">
        <f>TRUNC(IF(OR([T]="CV",[T]="VV"),     L22*SETUP!$H$3,     0),2)</f>
        <v>0</v>
      </c>
      <c r="Z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A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B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2" s="15">
        <f>IF([LUCRO TMP] &lt;&gt; 0, [LUCRO TMP] - SUMPRODUCT(N([ATIVO]=NC[[#This Row],[ATIVO]]),N(['[D/N']]="N"),N([ID]&lt;NC[[#This Row],[ID]]),N([PAR]=NC[[#This Row],[PAR]]), [LUCRO TMP]), 0)</f>
        <v>0</v>
      </c>
      <c r="AE22" s="15">
        <f>IF([U] = "U", SUMPRODUCT(N([ID]&lt;=NC[[#This Row],[ID]]),N([DATA BASE]=NC[[#This Row],[DATA BASE]]), N(['[D/N']] = "N"),    [LUCRO P/ OP]), 0)</f>
        <v>0</v>
      </c>
      <c r="AF22" s="15">
        <f>IF([U] = "U",[LUCRO '[N']] + SUMPRODUCT(N(MONTH([DATA BASE])&lt;MONTH(NC[[#This Row],[DATA BASE]]) ), [LUCRO '[N']]),0)</f>
        <v>0</v>
      </c>
      <c r="AG22" s="15">
        <f>IF([U] = "U", SUMPRODUCT(N([DATA BASE]=NC[[#This Row],[DATA BASE]]), N(['[D/N']] = "D"),    [LUCRO P/ OP]), 0)</f>
        <v>0</v>
      </c>
      <c r="AH22" s="20">
        <f>IF([ TRIB. '[N']] &gt; 0,     ROUND([ TRIB. '[N']]*0.15,    2),    0)</f>
        <v>0</v>
      </c>
      <c r="AI22" s="20">
        <f>IF([LUCRO TRIB. DT] &gt; 0,     ROUND([LUCRO TRIB. DT]*0.2,    2)  -  SUMPRODUCT(N([DATA BASE]=NC[[#This Row],[DATA BASE]]),    [IRRF FONTE]),    0)</f>
        <v>0</v>
      </c>
      <c r="AJ22" s="19">
        <f>[IR '[N']] + [IR DEVIDO DT]</f>
        <v>0</v>
      </c>
      <c r="AK22" s="20">
        <f>IF(AND([U] = "U",[IR DEVIDO] &gt; 0), [IR DEVIDO] + 8.9, 0)</f>
        <v>0</v>
      </c>
      <c r="AL22" s="20">
        <f>[LUCRO '[N']]  + [LUCRO TRIB. DT] - [RESGATE]</f>
        <v>0</v>
      </c>
    </row>
    <row r="23" spans="1:38" ht="11.25" customHeight="1">
      <c r="A23" s="13">
        <v>22</v>
      </c>
      <c r="B23" s="13"/>
      <c r="C23" s="13" t="s">
        <v>56</v>
      </c>
      <c r="D23" s="13" t="s">
        <v>25</v>
      </c>
      <c r="E23" s="14">
        <v>41002</v>
      </c>
      <c r="F23" s="13">
        <v>1900</v>
      </c>
      <c r="G23" s="15">
        <v>0.09</v>
      </c>
      <c r="H23" s="13" t="s">
        <v>6</v>
      </c>
      <c r="I23" s="14">
        <f>WORKDAY(NC[[#This Row],[DATA]],1,0)</f>
        <v>41003</v>
      </c>
      <c r="J23" s="22">
        <f>EOMONTH(NC[[#This Row],[DATA DE LIQUIDAÇÃO]],0)</f>
        <v>41029</v>
      </c>
      <c r="K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3" s="15">
        <f>[QTDE]*[PREÇO]</f>
        <v>171</v>
      </c>
      <c r="M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N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Q23" s="15">
        <f>SETUP!$E$3*SUMPRODUCT(N([DATA]=NC[[#This Row],[DATA]]),N([ID]&lt;=NC[[#This Row],[ID]]))</f>
        <v>14.9</v>
      </c>
      <c r="R23" s="15">
        <f>TRUNC([CORRETAGEM]*SETUP!$F$3,2)</f>
        <v>0.28999999999999998</v>
      </c>
      <c r="S23" s="15">
        <f>ROUND([CORRETAGEM]*SETUP!$G$3,2)</f>
        <v>0.57999999999999996</v>
      </c>
      <c r="T23" s="15">
        <f>[VALOR LÍQUIDO DAS OPERAÇÕES]-[TAXA DE LIQUIDAÇÃO]-[EMOLUMENTOS]-[TAXA DE REGISTRO]-[CORRETAGEM]-[ISS]-IF(['[D/N']]="D",    0,    [OUTRAS BOVESPA])</f>
        <v>155.01999999999998</v>
      </c>
      <c r="U23" s="15">
        <f>IF(AND(['[D/N']]="D",    [T]="CV"),    ROUND([LÍQUIDO BASE]*0.01, 2),    0)</f>
        <v>0</v>
      </c>
      <c r="V23" s="15">
        <f>IF([PREÇO] &gt; 0,    [LÍQUIDO BASE]-SUMPRODUCT(N([DATA]=NC[[#This Row],[DATA]]),    [IRRF FONTE]),    0)</f>
        <v>155.01999999999998</v>
      </c>
      <c r="W23" s="20">
        <f>[LÍQUIDO]-SUMPRODUCT(N([DATA]=NC[[#This Row],[DATA]]),N([ID]=(NC[[#This Row],[ID]]-1)),[LÍQUIDO])</f>
        <v>155.01999999999998</v>
      </c>
      <c r="X23" s="15">
        <f>IF([T] = "VC", ABS([VALOR OP]) / [QTDE], [VALOR OP]/[QTDE])</f>
        <v>8.1589473684210517E-2</v>
      </c>
      <c r="Y23" s="15">
        <f>TRUNC(IF(OR([T]="CV",[T]="VV"),     L23*SETUP!$H$3,     0),2)</f>
        <v>0</v>
      </c>
      <c r="Z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B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C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D23" s="15">
        <f>IF([LUCRO TMP] &lt;&gt; 0, [LUCRO TMP] - SUMPRODUCT(N([ATIVO]=NC[[#This Row],[ATIVO]]),N(['[D/N']]="N"),N([ID]&lt;NC[[#This Row],[ID]]),N([PAR]=NC[[#This Row],[PAR]]), [LUCRO TMP]), 0)</f>
        <v>-317.37</v>
      </c>
      <c r="AE23" s="15">
        <f>IF([U] = "U", SUMPRODUCT(N([ID]&lt;=NC[[#This Row],[ID]]),N([DATA BASE]=NC[[#This Row],[DATA BASE]]), N(['[D/N']] = "N"),    [LUCRO P/ OP]), 0)</f>
        <v>0</v>
      </c>
      <c r="AF23" s="15">
        <f>IF([U] = "U",[LUCRO '[N']] + SUMPRODUCT(N(MONTH([DATA BASE])&lt;MONTH(NC[[#This Row],[DATA BASE]]) ), [LUCRO '[N']]),0)</f>
        <v>0</v>
      </c>
      <c r="AG23" s="15">
        <f>IF([U] = "U", SUMPRODUCT(N([DATA BASE]=NC[[#This Row],[DATA BASE]]), N(['[D/N']] = "D"),    [LUCRO P/ OP]), 0)</f>
        <v>0</v>
      </c>
      <c r="AH23" s="20">
        <f>IF([ TRIB. '[N']] &gt; 0,     ROUND([ TRIB. '[N']]*0.15,    2),    0)</f>
        <v>0</v>
      </c>
      <c r="AI23" s="20">
        <f>IF([LUCRO TRIB. DT] &gt; 0,     ROUND([LUCRO TRIB. DT]*0.2,    2)  -  SUMPRODUCT(N([DATA BASE]=NC[[#This Row],[DATA BASE]]),    [IRRF FONTE]),    0)</f>
        <v>0</v>
      </c>
      <c r="AJ23" s="19">
        <f>[IR '[N']] + [IR DEVIDO DT]</f>
        <v>0</v>
      </c>
      <c r="AK23" s="20">
        <f>IF(AND([U] = "U",[IR DEVIDO] &gt; 0), [IR DEVIDO] + 8.9, 0)</f>
        <v>0</v>
      </c>
      <c r="AL23" s="20">
        <f>[LUCRO '[N']]  + [LUCRO TRIB. DT] - [RESGATE]</f>
        <v>0</v>
      </c>
    </row>
    <row r="24" spans="1:38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13" t="s">
        <v>6</v>
      </c>
      <c r="I24" s="14">
        <f>WORKDAY(NC[[#This Row],[DATA]],1,0)</f>
        <v>41004</v>
      </c>
      <c r="J24" s="22">
        <f>EOMONTH(NC[[#This Row],[DATA DE LIQUIDAÇÃO]],0)</f>
        <v>41029</v>
      </c>
      <c r="K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24" s="15">
        <f>[QTDE]*[PREÇO]</f>
        <v>65</v>
      </c>
      <c r="M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N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O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Q24" s="15">
        <f>SETUP!$E$3*SUMPRODUCT(N([DATA]=NC[[#This Row],[DATA]]),N([ID]&lt;=NC[[#This Row],[ID]]))</f>
        <v>14.9</v>
      </c>
      <c r="R24" s="15">
        <f>TRUNC([CORRETAGEM]*SETUP!$F$3,2)</f>
        <v>0.28999999999999998</v>
      </c>
      <c r="S24" s="15">
        <f>ROUND([CORRETAGEM]*SETUP!$G$3,2)</f>
        <v>0.57999999999999996</v>
      </c>
      <c r="T24" s="15">
        <f>[VALOR LÍQUIDO DAS OPERAÇÕES]-[TAXA DE LIQUIDAÇÃO]-[EMOLUMENTOS]-[TAXA DE REGISTRO]-[CORRETAGEM]-[ISS]-IF(['[D/N']]="D",    0,    [OUTRAS BOVESPA])</f>
        <v>49.16</v>
      </c>
      <c r="U24" s="15">
        <f>IF(AND(['[D/N']]="D",    [T]="CV"),    ROUND([LÍQUIDO BASE]*0.01, 2),    0)</f>
        <v>0</v>
      </c>
      <c r="V24" s="15">
        <f>IF([PREÇO] &gt; 0,    [LÍQUIDO BASE]-SUMPRODUCT(N([DATA]=NC[[#This Row],[DATA]]),    [IRRF FONTE]),    0)</f>
        <v>49.16</v>
      </c>
      <c r="W24" s="20">
        <f>[LÍQUIDO]-SUMPRODUCT(N([DATA]=NC[[#This Row],[DATA]]),N([ID]=(NC[[#This Row],[ID]]-1)),[LÍQUIDO])</f>
        <v>49.16</v>
      </c>
      <c r="X24" s="15">
        <f>IF([T] = "VC", ABS([VALOR OP]) / [QTDE], [VALOR OP]/[QTDE])</f>
        <v>3.7815384615384612E-2</v>
      </c>
      <c r="Y24" s="15">
        <f>TRUNC(IF(OR([T]="CV",[T]="VV"),     L24*SETUP!$H$3,     0),2)</f>
        <v>0</v>
      </c>
      <c r="Z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B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C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D24" s="15">
        <f>IF([LUCRO TMP] &lt;&gt; 0, [LUCRO TMP] - SUMPRODUCT(N([ATIVO]=NC[[#This Row],[ATIVO]]),N(['[D/N']]="N"),N([ID]&lt;NC[[#This Row],[ID]]),N([PAR]=NC[[#This Row],[PAR]]), [LUCRO TMP]), 0)</f>
        <v>-511.19</v>
      </c>
      <c r="AE24" s="15">
        <f>IF([U] = "U", SUMPRODUCT(N([ID]&lt;=NC[[#This Row],[ID]]),N([DATA BASE]=NC[[#This Row],[DATA BASE]]), N(['[D/N']] = "N"),    [LUCRO P/ OP]), 0)</f>
        <v>0</v>
      </c>
      <c r="AF24" s="15">
        <f>IF([U] = "U",[LUCRO '[N']] + SUMPRODUCT(N(MONTH([DATA BASE])&lt;MONTH(NC[[#This Row],[DATA BASE]]) ), [LUCRO '[N']]),0)</f>
        <v>0</v>
      </c>
      <c r="AG24" s="15">
        <f>IF([U] = "U", SUMPRODUCT(N([DATA BASE]=NC[[#This Row],[DATA BASE]]), N(['[D/N']] = "D"),    [LUCRO P/ OP]), 0)</f>
        <v>0</v>
      </c>
      <c r="AH24" s="20">
        <f>IF([ TRIB. '[N']] &gt; 0,     ROUND([ TRIB. '[N']]*0.15,    2),    0)</f>
        <v>0</v>
      </c>
      <c r="AI24" s="20">
        <f>IF([LUCRO TRIB. DT] &gt; 0,     ROUND([LUCRO TRIB. DT]*0.2,    2)  -  SUMPRODUCT(N([DATA BASE]=NC[[#This Row],[DATA BASE]]),    [IRRF FONTE]),    0)</f>
        <v>0</v>
      </c>
      <c r="AJ24" s="19">
        <f>[IR '[N']] + [IR DEVIDO DT]</f>
        <v>0</v>
      </c>
      <c r="AK24" s="20">
        <f>IF(AND([U] = "U",[IR DEVIDO] &gt; 0), [IR DEVIDO] + 8.9, 0)</f>
        <v>0</v>
      </c>
      <c r="AL24" s="20">
        <f>[LUCRO '[N']]  + [LUCRO TRIB. DT] - [RESGATE]</f>
        <v>0</v>
      </c>
    </row>
    <row r="25" spans="1:38" ht="11.25" customHeight="1">
      <c r="A25" s="13">
        <v>24</v>
      </c>
      <c r="B25" s="13"/>
      <c r="C25" s="13" t="s">
        <v>60</v>
      </c>
      <c r="D25" s="13" t="s">
        <v>24</v>
      </c>
      <c r="E25" s="14">
        <v>41004</v>
      </c>
      <c r="F25" s="13">
        <v>800</v>
      </c>
      <c r="G25" s="15">
        <v>0.5</v>
      </c>
      <c r="H25" s="13" t="s">
        <v>6</v>
      </c>
      <c r="I25" s="14">
        <f>WORKDAY(NC[[#This Row],[DATA]],1,0)</f>
        <v>41005</v>
      </c>
      <c r="J25" s="22">
        <f>EOMONTH(NC[[#This Row],[DATA DE LIQUIDAÇÃO]],0)</f>
        <v>41029</v>
      </c>
      <c r="K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5" s="15">
        <f>[QTDE]*[PREÇO]</f>
        <v>400</v>
      </c>
      <c r="M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N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O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P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Q25" s="15">
        <f>SETUP!$E$3*SUMPRODUCT(N([DATA]=NC[[#This Row],[DATA]]),N([ID]&lt;=NC[[#This Row],[ID]]))</f>
        <v>14.9</v>
      </c>
      <c r="R25" s="15">
        <f>TRUNC([CORRETAGEM]*SETUP!$F$3,2)</f>
        <v>0.28999999999999998</v>
      </c>
      <c r="S25" s="15">
        <f>ROUND([CORRETAGEM]*SETUP!$G$3,2)</f>
        <v>0.57999999999999996</v>
      </c>
      <c r="T25" s="15">
        <f>[VALOR LÍQUIDO DAS OPERAÇÕES]-[TAXA DE LIQUIDAÇÃO]-[EMOLUMENTOS]-[TAXA DE REGISTRO]-[CORRETAGEM]-[ISS]-IF(['[D/N']]="D",    0,    [OUTRAS BOVESPA])</f>
        <v>-416.28999999999996</v>
      </c>
      <c r="U25" s="15">
        <f>IF(AND(['[D/N']]="D",    [T]="CV"),    ROUND([LÍQUIDO BASE]*0.01, 2),    0)</f>
        <v>0</v>
      </c>
      <c r="V25" s="15">
        <f>IF([PREÇO] &gt; 0,    [LÍQUIDO BASE]-SUMPRODUCT(N([DATA]=NC[[#This Row],[DATA]]),    [IRRF FONTE]),    0)</f>
        <v>-416.28999999999996</v>
      </c>
      <c r="W25" s="20">
        <f>[LÍQUIDO]-SUMPRODUCT(N([DATA]=NC[[#This Row],[DATA]]),N([ID]=(NC[[#This Row],[ID]]-1)),[LÍQUIDO])</f>
        <v>-416.28999999999996</v>
      </c>
      <c r="X25" s="15">
        <f>IF([T] = "VC", ABS([VALOR OP]) / [QTDE], [VALOR OP]/[QTDE])</f>
        <v>-0.52036249999999995</v>
      </c>
      <c r="Y25" s="15">
        <f>TRUNC(IF(OR([T]="CV",[T]="VV"),     L25*SETUP!$H$3,     0),2)</f>
        <v>0</v>
      </c>
      <c r="Z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A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B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5" s="15">
        <f>IF([LUCRO TMP] &lt;&gt; 0, [LUCRO TMP] - SUMPRODUCT(N([ATIVO]=NC[[#This Row],[ATIVO]]),N(['[D/N']]="N"),N([ID]&lt;NC[[#This Row],[ID]]),N([PAR]=NC[[#This Row],[PAR]]), [LUCRO TMP]), 0)</f>
        <v>0</v>
      </c>
      <c r="AE25" s="15">
        <f>IF([U] = "U", SUMPRODUCT(N([ID]&lt;=NC[[#This Row],[ID]]),N([DATA BASE]=NC[[#This Row],[DATA BASE]]), N(['[D/N']] = "N"),    [LUCRO P/ OP]), 0)</f>
        <v>0</v>
      </c>
      <c r="AF25" s="15">
        <f>IF([U] = "U",[LUCRO '[N']] + SUMPRODUCT(N(MONTH([DATA BASE])&lt;MONTH(NC[[#This Row],[DATA BASE]]) ), [LUCRO '[N']]),0)</f>
        <v>0</v>
      </c>
      <c r="AG25" s="15">
        <f>IF([U] = "U", SUMPRODUCT(N([DATA BASE]=NC[[#This Row],[DATA BASE]]), N(['[D/N']] = "D"),    [LUCRO P/ OP]), 0)</f>
        <v>0</v>
      </c>
      <c r="AH25" s="20">
        <f>IF([ TRIB. '[N']] &gt; 0,     ROUND([ TRIB. '[N']]*0.15,    2),    0)</f>
        <v>0</v>
      </c>
      <c r="AI25" s="20">
        <f>IF([LUCRO TRIB. DT] &gt; 0,     ROUND([LUCRO TRIB. DT]*0.2,    2)  -  SUMPRODUCT(N([DATA BASE]=NC[[#This Row],[DATA BASE]]),    [IRRF FONTE]),    0)</f>
        <v>0</v>
      </c>
      <c r="AJ25" s="19">
        <f>[IR '[N']] + [IR DEVIDO DT]</f>
        <v>0</v>
      </c>
      <c r="AK25" s="20">
        <f>IF(AND([U] = "U",[IR DEVIDO] &gt; 0), [IR DEVIDO] + 8.9, 0)</f>
        <v>0</v>
      </c>
      <c r="AL25" s="20">
        <f>[LUCRO '[N']]  + [LUCRO TRIB. DT] - [RESGATE]</f>
        <v>0</v>
      </c>
    </row>
    <row r="26" spans="1:38" ht="11.25" customHeight="1">
      <c r="A26" s="13">
        <v>25</v>
      </c>
      <c r="B26" s="13"/>
      <c r="C26" s="13" t="s">
        <v>60</v>
      </c>
      <c r="D26" s="13" t="s">
        <v>25</v>
      </c>
      <c r="E26" s="14">
        <v>41010</v>
      </c>
      <c r="F26" s="13">
        <v>800</v>
      </c>
      <c r="G26" s="15">
        <v>1</v>
      </c>
      <c r="H26" s="13" t="s">
        <v>6</v>
      </c>
      <c r="I26" s="14">
        <f>WORKDAY(NC[[#This Row],[DATA]],1,0)</f>
        <v>41011</v>
      </c>
      <c r="J26" s="22">
        <f>EOMONTH(NC[[#This Row],[DATA DE LIQUIDAÇÃO]],0)</f>
        <v>41029</v>
      </c>
      <c r="K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6" s="15">
        <f>[QTDE]*[PREÇO]</f>
        <v>800</v>
      </c>
      <c r="M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N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O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P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Q26" s="15">
        <f>SETUP!$E$3*SUMPRODUCT(N([DATA]=NC[[#This Row],[DATA]]),N([ID]&lt;=NC[[#This Row],[ID]]))</f>
        <v>14.9</v>
      </c>
      <c r="R26" s="15">
        <f>TRUNC([CORRETAGEM]*SETUP!$F$3,2)</f>
        <v>0.28999999999999998</v>
      </c>
      <c r="S26" s="15">
        <f>ROUND([CORRETAGEM]*SETUP!$G$3,2)</f>
        <v>0.57999999999999996</v>
      </c>
      <c r="T26" s="15">
        <f>[VALOR LÍQUIDO DAS OPERAÇÕES]-[TAXA DE LIQUIDAÇÃO]-[EMOLUMENTOS]-[TAXA DE REGISTRO]-[CORRETAGEM]-[ISS]-IF(['[D/N']]="D",    0,    [OUTRAS BOVESPA])</f>
        <v>783.17000000000007</v>
      </c>
      <c r="U26" s="15">
        <f>IF(AND(['[D/N']]="D",    [T]="CV"),    ROUND([LÍQUIDO BASE]*0.01, 2),    0)</f>
        <v>0</v>
      </c>
      <c r="V26" s="15">
        <f>IF([PREÇO] &gt; 0,    [LÍQUIDO BASE]-SUMPRODUCT(N([DATA]=NC[[#This Row],[DATA]]),    [IRRF FONTE]),    0)</f>
        <v>783.17000000000007</v>
      </c>
      <c r="W26" s="20">
        <f>[LÍQUIDO]-SUMPRODUCT(N([DATA]=NC[[#This Row],[DATA]]),N([ID]=(NC[[#This Row],[ID]]-1)),[LÍQUIDO])</f>
        <v>783.17000000000007</v>
      </c>
      <c r="X26" s="15">
        <f>IF([T] = "VC", ABS([VALOR OP]) / [QTDE], [VALOR OP]/[QTDE])</f>
        <v>0.97896250000000007</v>
      </c>
      <c r="Y26" s="15">
        <f>TRUNC(IF(OR([T]="CV",[T]="VV"),     L26*SETUP!$H$3,     0),2)</f>
        <v>0.04</v>
      </c>
      <c r="Z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B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C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D26" s="15">
        <f>IF([LUCRO TMP] &lt;&gt; 0, [LUCRO TMP] - SUMPRODUCT(N([ATIVO]=NC[[#This Row],[ATIVO]]),N(['[D/N']]="N"),N([ID]&lt;NC[[#This Row],[ID]]),N([PAR]=NC[[#This Row],[PAR]]), [LUCRO TMP]), 0)</f>
        <v>366.88000000000011</v>
      </c>
      <c r="AE26" s="15">
        <f>IF([U] = "U", SUMPRODUCT(N([ID]&lt;=NC[[#This Row],[ID]]),N([DATA BASE]=NC[[#This Row],[DATA BASE]]), N(['[D/N']] = "N"),    [LUCRO P/ OP]), 0)</f>
        <v>0</v>
      </c>
      <c r="AF26" s="15">
        <f>IF([U] = "U",[LUCRO '[N']] + SUMPRODUCT(N(MONTH([DATA BASE])&lt;MONTH(NC[[#This Row],[DATA BASE]]) ), [LUCRO '[N']]),0)</f>
        <v>0</v>
      </c>
      <c r="AG26" s="15">
        <f>IF([U] = "U", SUMPRODUCT(N([DATA BASE]=NC[[#This Row],[DATA BASE]]), N(['[D/N']] = "D"),    [LUCRO P/ OP]), 0)</f>
        <v>0</v>
      </c>
      <c r="AH26" s="20">
        <f>IF([ TRIB. '[N']] &gt; 0,     ROUND([ TRIB. '[N']]*0.15,    2),    0)</f>
        <v>0</v>
      </c>
      <c r="AI26" s="20">
        <f>IF([LUCRO TRIB. DT] &gt; 0,     ROUND([LUCRO TRIB. DT]*0.2,    2)  -  SUMPRODUCT(N([DATA BASE]=NC[[#This Row],[DATA BASE]]),    [IRRF FONTE]),    0)</f>
        <v>0</v>
      </c>
      <c r="AJ26" s="19">
        <f>[IR '[N']] + [IR DEVIDO DT]</f>
        <v>0</v>
      </c>
      <c r="AK26" s="20">
        <f>IF(AND([U] = "U",[IR DEVIDO] &gt; 0), [IR DEVIDO] + 8.9, 0)</f>
        <v>0</v>
      </c>
      <c r="AL26" s="20">
        <f>[LUCRO '[N']]  + [LUCRO TRIB. DT] - [RESGATE]</f>
        <v>0</v>
      </c>
    </row>
    <row r="27" spans="1:38" ht="11.25" customHeight="1">
      <c r="A27" s="13">
        <v>26</v>
      </c>
      <c r="B27" s="13"/>
      <c r="C27" s="13" t="s">
        <v>55</v>
      </c>
      <c r="D27" s="13" t="s">
        <v>25</v>
      </c>
      <c r="E27" s="14">
        <v>41016</v>
      </c>
      <c r="F27" s="13">
        <v>3000</v>
      </c>
      <c r="G27" s="15">
        <v>0</v>
      </c>
      <c r="H27" s="13" t="s">
        <v>6</v>
      </c>
      <c r="I27" s="14">
        <f>WORKDAY(NC[[#This Row],[DATA]],1,0)</f>
        <v>41017</v>
      </c>
      <c r="J27" s="22">
        <f>EOMONTH(NC[[#This Row],[DATA DE LIQUIDAÇÃO]],0)</f>
        <v>41029</v>
      </c>
      <c r="K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L27" s="15">
        <f>[QTDE]*[PREÇO]</f>
        <v>0</v>
      </c>
      <c r="M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27" s="15">
        <f>SETUP!$E$3*SUMPRODUCT(N([DATA]=NC[[#This Row],[DATA]]),N([ID]&lt;=NC[[#This Row],[ID]]))</f>
        <v>14.9</v>
      </c>
      <c r="R27" s="15">
        <f>TRUNC([CORRETAGEM]*SETUP!$F$3,2)</f>
        <v>0.28999999999999998</v>
      </c>
      <c r="S27" s="15">
        <f>ROUND([CORRETAGEM]*SETUP!$G$3,2)</f>
        <v>0.57999999999999996</v>
      </c>
      <c r="T27" s="15">
        <f>[VALOR LÍQUIDO DAS OPERAÇÕES]-[TAXA DE LIQUIDAÇÃO]-[EMOLUMENTOS]-[TAXA DE REGISTRO]-[CORRETAGEM]-[ISS]-IF(['[D/N']]="D",    0,    [OUTRAS BOVESPA])</f>
        <v>-15.77</v>
      </c>
      <c r="U27" s="15">
        <f>IF(AND(['[D/N']]="D",    [T]="CV"),    ROUND([LÍQUIDO BASE]*0.01, 2),    0)</f>
        <v>0</v>
      </c>
      <c r="V27" s="15">
        <f>IF([PREÇO] &gt; 0,    [LÍQUIDO BASE]-SUMPRODUCT(N([DATA]=NC[[#This Row],[DATA]]),    [IRRF FONTE]),    0)</f>
        <v>0</v>
      </c>
      <c r="W27" s="20">
        <f>[LÍQUIDO]-SUMPRODUCT(N([DATA]=NC[[#This Row],[DATA]]),N([ID]=(NC[[#This Row],[ID]]-1)),[LÍQUIDO])</f>
        <v>0</v>
      </c>
      <c r="X27" s="15">
        <f>IF([T] = "VC", ABS([VALOR OP]) / [QTDE], [VALOR OP]/[QTDE])</f>
        <v>0</v>
      </c>
      <c r="Y27" s="15">
        <f>TRUNC(IF(OR([T]="CV",[T]="VV"),     L27*SETUP!$H$3,     0),2)</f>
        <v>0</v>
      </c>
      <c r="Z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B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D27" s="15">
        <f>IF([LUCRO TMP] &lt;&gt; 0, [LUCRO TMP] - SUMPRODUCT(N([ATIVO]=NC[[#This Row],[ATIVO]]),N(['[D/N']]="N"),N([ID]&lt;NC[[#This Row],[ID]]),N([PAR]=NC[[#This Row],[PAR]]), [LUCRO TMP]), 0)</f>
        <v>-496.4</v>
      </c>
      <c r="AE27" s="15">
        <f>IF([U] = "U", SUMPRODUCT(N([ID]&lt;=NC[[#This Row],[ID]]),N([DATA BASE]=NC[[#This Row],[DATA BASE]]), N(['[D/N']] = "N"),    [LUCRO P/ OP]), 0)</f>
        <v>0</v>
      </c>
      <c r="AF27" s="15">
        <f>IF([U] = "U",[LUCRO '[N']] + SUMPRODUCT(N(MONTH([DATA BASE])&lt;MONTH(NC[[#This Row],[DATA BASE]]) ), [LUCRO '[N']]),0)</f>
        <v>0</v>
      </c>
      <c r="AG27" s="15">
        <f>IF([U] = "U", SUMPRODUCT(N([DATA BASE]=NC[[#This Row],[DATA BASE]]), N(['[D/N']] = "D"),    [LUCRO P/ OP]), 0)</f>
        <v>0</v>
      </c>
      <c r="AH27" s="20">
        <f>IF([ TRIB. '[N']] &gt; 0,     ROUND([ TRIB. '[N']]*0.15,    2),    0)</f>
        <v>0</v>
      </c>
      <c r="AI27" s="20">
        <f>IF([LUCRO TRIB. DT] &gt; 0,     ROUND([LUCRO TRIB. DT]*0.2,    2)  -  SUMPRODUCT(N([DATA BASE]=NC[[#This Row],[DATA BASE]]),    [IRRF FONTE]),    0)</f>
        <v>0</v>
      </c>
      <c r="AJ27" s="19">
        <f>[IR '[N']] + [IR DEVIDO DT]</f>
        <v>0</v>
      </c>
      <c r="AK27" s="20">
        <f>IF(AND([U] = "U",[IR DEVIDO] &gt; 0), [IR DEVIDO] + 8.9, 0)</f>
        <v>0</v>
      </c>
      <c r="AL27" s="20">
        <f>[LUCRO '[N']]  + [LUCRO TRIB. DT] - [RESGATE]</f>
        <v>0</v>
      </c>
    </row>
    <row r="28" spans="1:38" ht="11.25" customHeight="1">
      <c r="A28" s="13">
        <v>27</v>
      </c>
      <c r="B28" s="31"/>
      <c r="C28" s="61" t="s">
        <v>70</v>
      </c>
      <c r="D28" s="31" t="s">
        <v>24</v>
      </c>
      <c r="E28" s="32">
        <v>41022</v>
      </c>
      <c r="F28" s="31">
        <v>100</v>
      </c>
      <c r="G28" s="30">
        <v>0.75</v>
      </c>
      <c r="H28" s="31" t="s">
        <v>6</v>
      </c>
      <c r="I28" s="32">
        <f>WORKDAY(NC[[#This Row],[DATA]],1,0)</f>
        <v>41023</v>
      </c>
      <c r="J28" s="33">
        <f>EOMONTH(NC[[#This Row],[DATA DE LIQUIDAÇÃO]],0)</f>
        <v>41029</v>
      </c>
      <c r="K28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8" s="30">
        <f>[QTDE]*[PREÇO]</f>
        <v>75</v>
      </c>
      <c r="M28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N28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28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28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Q28" s="30">
        <f>SETUP!$E$3*SUMPRODUCT(N([DATA]=NC[[#This Row],[DATA]]),N([ID]&lt;=NC[[#This Row],[ID]]))</f>
        <v>14.9</v>
      </c>
      <c r="R28" s="30">
        <f>TRUNC([CORRETAGEM]*SETUP!$F$3,2)</f>
        <v>0.28999999999999998</v>
      </c>
      <c r="S28" s="30">
        <f>ROUND([CORRETAGEM]*SETUP!$G$3,2)</f>
        <v>0.57999999999999996</v>
      </c>
      <c r="T28" s="30">
        <f>[VALOR LÍQUIDO DAS OPERAÇÕES]-[TAXA DE LIQUIDAÇÃO]-[EMOLUMENTOS]-[TAXA DE REGISTRO]-[CORRETAGEM]-[ISS]-IF(['[D/N']]="D",    0,    [OUTRAS BOVESPA])</f>
        <v>-90.86</v>
      </c>
      <c r="U28" s="30">
        <f>IF(AND(['[D/N']]="D",    [T]="CV"),    ROUND([LÍQUIDO BASE]*0.01, 2),    0)</f>
        <v>0</v>
      </c>
      <c r="V28" s="15">
        <f>IF([PREÇO] &gt; 0,    [LÍQUIDO BASE]-SUMPRODUCT(N([DATA]=NC[[#This Row],[DATA]]),    [IRRF FONTE]),    0)</f>
        <v>-90.86</v>
      </c>
      <c r="W28" s="34">
        <f>[LÍQUIDO]-SUMPRODUCT(N([DATA]=NC[[#This Row],[DATA]]),N([ID]=(NC[[#This Row],[ID]]-1)),[LÍQUIDO])</f>
        <v>-90.86</v>
      </c>
      <c r="X28" s="30">
        <f>IF([T] = "VC", ABS([VALOR OP]) / [QTDE], [VALOR OP]/[QTDE])</f>
        <v>-0.90859999999999996</v>
      </c>
      <c r="Y28" s="30">
        <f>TRUNC(IF(OR([T]="CV",[T]="VV"),     L28*SETUP!$H$3,     0),2)</f>
        <v>0</v>
      </c>
      <c r="Z28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A28" s="35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B28" s="3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8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8" s="30">
        <f>IF([LUCRO TMP] &lt;&gt; 0, [LUCRO TMP] - SUMPRODUCT(N([ATIVO]=NC[[#This Row],[ATIVO]]),N(['[D/N']]="N"),N([ID]&lt;NC[[#This Row],[ID]]),N([PAR]=NC[[#This Row],[PAR]]), [LUCRO TMP]), 0)</f>
        <v>0</v>
      </c>
      <c r="AE28" s="30">
        <f>IF([U] = "U", SUMPRODUCT(N([ID]&lt;=NC[[#This Row],[ID]]),N([DATA BASE]=NC[[#This Row],[DATA BASE]]), N(['[D/N']] = "N"),    [LUCRO P/ OP]), 0)</f>
        <v>0</v>
      </c>
      <c r="AF28" s="15">
        <f>IF([U] = "U",[LUCRO '[N']] + SUMPRODUCT(N(MONTH([DATA BASE])&lt;MONTH(NC[[#This Row],[DATA BASE]]) ), [LUCRO '[N']]),0)</f>
        <v>0</v>
      </c>
      <c r="AG28" s="30">
        <f>IF([U] = "U", SUMPRODUCT(N([DATA BASE]=NC[[#This Row],[DATA BASE]]), N(['[D/N']] = "D"),    [LUCRO P/ OP]), 0)</f>
        <v>0</v>
      </c>
      <c r="AH28" s="34">
        <f>IF([ TRIB. '[N']] &gt; 0,     ROUND([ TRIB. '[N']]*0.15,    2),    0)</f>
        <v>0</v>
      </c>
      <c r="AI28" s="34">
        <f>IF([LUCRO TRIB. DT] &gt; 0,     ROUND([LUCRO TRIB. DT]*0.2,    2)  -  SUMPRODUCT(N([DATA BASE]=NC[[#This Row],[DATA BASE]]),    [IRRF FONTE]),    0)</f>
        <v>0</v>
      </c>
      <c r="AJ28" s="36">
        <f>[IR '[N']] + [IR DEVIDO DT]</f>
        <v>0</v>
      </c>
      <c r="AK28" s="34">
        <f>IF(AND([U] = "U",[IR DEVIDO] &gt; 0), [IR DEVIDO] + 8.9, 0)</f>
        <v>0</v>
      </c>
      <c r="AL28" s="34">
        <f>[LUCRO '[N']]  + [LUCRO TRIB. DT] - [RESGATE]</f>
        <v>0</v>
      </c>
    </row>
    <row r="29" spans="1:38" ht="11.25" customHeight="1">
      <c r="A29" s="13">
        <v>28</v>
      </c>
      <c r="B29" s="31"/>
      <c r="C29" s="61" t="s">
        <v>71</v>
      </c>
      <c r="D29" s="31" t="s">
        <v>72</v>
      </c>
      <c r="E29" s="32">
        <v>41022</v>
      </c>
      <c r="F29" s="31">
        <v>100</v>
      </c>
      <c r="G29" s="30">
        <v>1.93</v>
      </c>
      <c r="H29" s="31" t="s">
        <v>6</v>
      </c>
      <c r="I29" s="32">
        <f>WORKDAY(NC[[#This Row],[DATA]],1,0)</f>
        <v>41023</v>
      </c>
      <c r="J29" s="33">
        <f>EOMONTH(NC[[#This Row],[DATA DE LIQUIDAÇÃO]],0)</f>
        <v>41029</v>
      </c>
      <c r="K29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9" s="30">
        <f>[QTDE]*[PREÇO]</f>
        <v>193</v>
      </c>
      <c r="M29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N29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O29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P29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Q29" s="30">
        <f>SETUP!$E$3*SUMPRODUCT(N([DATA]=NC[[#This Row],[DATA]]),N([ID]&lt;=NC[[#This Row],[ID]]))</f>
        <v>29.8</v>
      </c>
      <c r="R29" s="30">
        <f>TRUNC([CORRETAGEM]*SETUP!$F$3,2)</f>
        <v>0.59</v>
      </c>
      <c r="S29" s="30">
        <f>ROUND([CORRETAGEM]*SETUP!$G$3,2)</f>
        <v>1.1599999999999999</v>
      </c>
      <c r="T29" s="30">
        <f>[VALOR LÍQUIDO DAS OPERAÇÕES]-[TAXA DE LIQUIDAÇÃO]-[EMOLUMENTOS]-[TAXA DE REGISTRO]-[CORRETAGEM]-[ISS]-IF(['[D/N']]="D",    0,    [OUTRAS BOVESPA])</f>
        <v>86.11</v>
      </c>
      <c r="U29" s="30">
        <f>IF(AND(['[D/N']]="D",    [T]="CV"),    ROUND([LÍQUIDO BASE]*0.01, 2),    0)</f>
        <v>0</v>
      </c>
      <c r="V29" s="15">
        <f>IF([PREÇO] &gt; 0,    [LÍQUIDO BASE]-SUMPRODUCT(N([DATA]=NC[[#This Row],[DATA]]),    [IRRF FONTE]),    0)</f>
        <v>86.11</v>
      </c>
      <c r="W29" s="34">
        <f>[LÍQUIDO]-SUMPRODUCT(N([DATA]=NC[[#This Row],[DATA]]),N([ID]=(NC[[#This Row],[ID]]-1)),[LÍQUIDO])</f>
        <v>176.97</v>
      </c>
      <c r="X29" s="30">
        <f>IF([T] = "VC", ABS([VALOR OP]) / [QTDE], [VALOR OP]/[QTDE])</f>
        <v>1.7697000000000001</v>
      </c>
      <c r="Y29" s="30">
        <f>TRUNC(IF(OR([T]="CV",[T]="VV"),     L29*SETUP!$H$3,     0),2)</f>
        <v>0</v>
      </c>
      <c r="Z29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A29" s="35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29" s="3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C29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9" s="30">
        <f>IF([LUCRO TMP] &lt;&gt; 0, [LUCRO TMP] - SUMPRODUCT(N([ATIVO]=NC[[#This Row],[ATIVO]]),N(['[D/N']]="N"),N([ID]&lt;NC[[#This Row],[ID]]),N([PAR]=NC[[#This Row],[PAR]]), [LUCRO TMP]), 0)</f>
        <v>0</v>
      </c>
      <c r="AE29" s="30">
        <f>IF([U] = "U", SUMPRODUCT(N([ID]&lt;=NC[[#This Row],[ID]]),N([DATA BASE]=NC[[#This Row],[DATA BASE]]), N(['[D/N']] = "N"),    [LUCRO P/ OP]), 0)</f>
        <v>0</v>
      </c>
      <c r="AF29" s="15">
        <f>IF([U] = "U",[LUCRO '[N']] + SUMPRODUCT(N(MONTH([DATA BASE])&lt;MONTH(NC[[#This Row],[DATA BASE]]) ), [LUCRO '[N']]),0)</f>
        <v>0</v>
      </c>
      <c r="AG29" s="30">
        <f>IF([U] = "U", SUMPRODUCT(N([DATA BASE]=NC[[#This Row],[DATA BASE]]), N(['[D/N']] = "D"),    [LUCRO P/ OP]), 0)</f>
        <v>0</v>
      </c>
      <c r="AH29" s="34">
        <f>IF([ TRIB. '[N']] &gt; 0,     ROUND([ TRIB. '[N']]*0.15,    2),    0)</f>
        <v>0</v>
      </c>
      <c r="AI29" s="34">
        <f>IF([LUCRO TRIB. DT] &gt; 0,     ROUND([LUCRO TRIB. DT]*0.2,    2)  -  SUMPRODUCT(N([DATA BASE]=NC[[#This Row],[DATA BASE]]),    [IRRF FONTE]),    0)</f>
        <v>0</v>
      </c>
      <c r="AJ29" s="36">
        <f>[IR '[N']] + [IR DEVIDO DT]</f>
        <v>0</v>
      </c>
      <c r="AK29" s="34">
        <f>IF(AND([U] = "U",[IR DEVIDO] &gt; 0), [IR DEVIDO] + 8.9, 0)</f>
        <v>0</v>
      </c>
      <c r="AL29" s="34">
        <f>[LUCRO '[N']]  + [LUCRO TRIB. DT] - [RESGATE]</f>
        <v>0</v>
      </c>
    </row>
    <row r="30" spans="1:38" ht="11.25" customHeight="1">
      <c r="A30" s="13">
        <v>29</v>
      </c>
      <c r="B30" s="31" t="s">
        <v>53</v>
      </c>
      <c r="C30" s="31" t="s">
        <v>65</v>
      </c>
      <c r="D30" s="31" t="s">
        <v>24</v>
      </c>
      <c r="E30" s="32">
        <v>41026</v>
      </c>
      <c r="F30" s="31">
        <v>300</v>
      </c>
      <c r="G30" s="30">
        <v>0.32</v>
      </c>
      <c r="H30" s="31" t="s">
        <v>6</v>
      </c>
      <c r="I30" s="32">
        <f>WORKDAY(NC[[#This Row],[DATA]],1,0)</f>
        <v>41029</v>
      </c>
      <c r="J30" s="33">
        <f>EOMONTH(NC[[#This Row],[DATA DE LIQUIDAÇÃO]],0)</f>
        <v>41029</v>
      </c>
      <c r="K30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0" s="30">
        <f>[QTDE]*[PREÇO]</f>
        <v>96</v>
      </c>
      <c r="M30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N30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30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P30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Q30" s="30">
        <f>SETUP!$E$3*SUMPRODUCT(N([DATA]=NC[[#This Row],[DATA]]),N([ID]&lt;=NC[[#This Row],[ID]]))</f>
        <v>14.9</v>
      </c>
      <c r="R30" s="30">
        <f>TRUNC([CORRETAGEM]*SETUP!$F$3,2)</f>
        <v>0.28999999999999998</v>
      </c>
      <c r="S30" s="30">
        <f>ROUND([CORRETAGEM]*SETUP!$G$3,2)</f>
        <v>0.57999999999999996</v>
      </c>
      <c r="T30" s="30">
        <f>[VALOR LÍQUIDO DAS OPERAÇÕES]-[TAXA DE LIQUIDAÇÃO]-[EMOLUMENTOS]-[TAXA DE REGISTRO]-[CORRETAGEM]-[ISS]-IF(['[D/N']]="D",    0,    [OUTRAS BOVESPA])</f>
        <v>-111.88000000000001</v>
      </c>
      <c r="U30" s="30">
        <f>IF(AND(['[D/N']]="D",    [T]="CV"),    ROUND([LÍQUIDO BASE]*0.01, 2),    0)</f>
        <v>0</v>
      </c>
      <c r="V30" s="15">
        <f>IF([PREÇO] &gt; 0,    [LÍQUIDO BASE]-SUMPRODUCT(N([DATA]=NC[[#This Row],[DATA]]),    [IRRF FONTE]),    0)</f>
        <v>-111.88000000000001</v>
      </c>
      <c r="W30" s="34">
        <f>[LÍQUIDO]-SUMPRODUCT(N([DATA]=NC[[#This Row],[DATA]]),N([ID]=(NC[[#This Row],[ID]]-1)),[LÍQUIDO])</f>
        <v>-111.88000000000001</v>
      </c>
      <c r="X30" s="30">
        <f>IF([T] = "VC", ABS([VALOR OP]) / [QTDE], [VALOR OP]/[QTDE])</f>
        <v>-0.37293333333333334</v>
      </c>
      <c r="Y30" s="30">
        <f>TRUNC(IF(OR([T]="CV",[T]="VV"),     L30*SETUP!$H$3,     0),2)</f>
        <v>0</v>
      </c>
      <c r="Z30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A30" s="35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B30" s="3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0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0" s="30">
        <f>IF([LUCRO TMP] &lt;&gt; 0, [LUCRO TMP] - SUMPRODUCT(N([ATIVO]=NC[[#This Row],[ATIVO]]),N(['[D/N']]="N"),N([ID]&lt;NC[[#This Row],[ID]]),N([PAR]=NC[[#This Row],[PAR]]), [LUCRO TMP]), 0)</f>
        <v>0</v>
      </c>
      <c r="AE30" s="30">
        <f>IF([U] = "U", SUMPRODUCT(N([ID]&lt;=NC[[#This Row],[ID]]),N([DATA BASE]=NC[[#This Row],[DATA BASE]]), N(['[D/N']] = "N"),    [LUCRO P/ OP]), 0)</f>
        <v>-958.07999999999981</v>
      </c>
      <c r="AF30" s="15">
        <f>IF([U] = "U",[LUCRO '[N']] + SUMPRODUCT(N(MONTH([DATA BASE])&lt;MONTH(NC[[#This Row],[DATA BASE]]) ), [LUCRO '[N']]),0)</f>
        <v>-1614.8899999999999</v>
      </c>
      <c r="AG30" s="30">
        <f>IF([U] = "U", SUMPRODUCT(N([DATA BASE]=NC[[#This Row],[DATA BASE]]), N(['[D/N']] = "D"),    [LUCRO P/ OP]), 0)</f>
        <v>0</v>
      </c>
      <c r="AH30" s="34">
        <f>IF([ TRIB. '[N']] &gt; 0,     ROUND([ TRIB. '[N']]*0.15,    2),    0)</f>
        <v>0</v>
      </c>
      <c r="AI30" s="34">
        <f>IF([LUCRO TRIB. DT] &gt; 0,     ROUND([LUCRO TRIB. DT]*0.2,    2)  -  SUMPRODUCT(N([DATA BASE]=NC[[#This Row],[DATA BASE]]),    [IRRF FONTE]),    0)</f>
        <v>0</v>
      </c>
      <c r="AJ30" s="36">
        <f>[IR '[N']] + [IR DEVIDO DT]</f>
        <v>0</v>
      </c>
      <c r="AK30" s="34">
        <f>IF(AND([U] = "U",[IR DEVIDO] &gt; 0), [IR DEVIDO] + 8.9, 0)</f>
        <v>0</v>
      </c>
      <c r="AL30" s="34">
        <f>[LUCRO '[N']]  + [LUCRO TRIB. DT] - [RESGATE]</f>
        <v>-958.07999999999981</v>
      </c>
    </row>
    <row r="31" spans="1:38" ht="11.25" customHeight="1">
      <c r="A31" s="13">
        <v>30</v>
      </c>
      <c r="B31" s="13"/>
      <c r="C31" s="13" t="s">
        <v>65</v>
      </c>
      <c r="D31" s="13" t="s">
        <v>25</v>
      </c>
      <c r="E31" s="14">
        <v>41031</v>
      </c>
      <c r="F31" s="13">
        <v>300</v>
      </c>
      <c r="G31" s="15">
        <v>0.64</v>
      </c>
      <c r="H31" s="13" t="s">
        <v>6</v>
      </c>
      <c r="I31" s="14">
        <f>WORKDAY(NC[[#This Row],[DATA]],1,0)</f>
        <v>41032</v>
      </c>
      <c r="J31" s="22">
        <f>EOMONTH(NC[[#This Row],[DATA DE LIQUIDAÇÃO]],0)</f>
        <v>41060</v>
      </c>
      <c r="K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1" s="15">
        <f>[QTDE]*[PREÇO]</f>
        <v>192</v>
      </c>
      <c r="M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N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O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P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Q31" s="15">
        <f>SETUP!$E$3*SUMPRODUCT(N([DATA]=NC[[#This Row],[DATA]]),N([ID]&lt;=NC[[#This Row],[ID]]))</f>
        <v>14.9</v>
      </c>
      <c r="R31" s="15">
        <f>TRUNC([CORRETAGEM]*SETUP!$F$3,2)</f>
        <v>0.28999999999999998</v>
      </c>
      <c r="S31" s="15">
        <f>ROUND([CORRETAGEM]*SETUP!$G$3,2)</f>
        <v>0.57999999999999996</v>
      </c>
      <c r="T31" s="15">
        <f>[VALOR LÍQUIDO DAS OPERAÇÕES]-[TAXA DE LIQUIDAÇÃO]-[EMOLUMENTOS]-[TAXA DE REGISTRO]-[CORRETAGEM]-[ISS]-IF(['[D/N']]="D",    0,    [OUTRAS BOVESPA])</f>
        <v>175.98</v>
      </c>
      <c r="U31" s="15">
        <f>IF(AND(['[D/N']]="D",    [T]="CV"),    ROUND([LÍQUIDO BASE]*0.01, 2),    0)</f>
        <v>0</v>
      </c>
      <c r="V31" s="15">
        <f>IF([PREÇO] &gt; 0,    [LÍQUIDO BASE]-SUMPRODUCT(N([DATA]=NC[[#This Row],[DATA]]),    [IRRF FONTE]),    0)</f>
        <v>175.98</v>
      </c>
      <c r="W31" s="20">
        <f>[LÍQUIDO]-SUMPRODUCT(N([DATA]=NC[[#This Row],[DATA]]),N([ID]=(NC[[#This Row],[ID]]-1)),[LÍQUIDO])</f>
        <v>175.98</v>
      </c>
      <c r="X31" s="15">
        <f>IF([T] = "VC", ABS([VALOR OP]) / [QTDE], [VALOR OP]/[QTDE])</f>
        <v>0.58660000000000001</v>
      </c>
      <c r="Y31" s="15">
        <f>TRUNC(IF(OR([T]="CV",[T]="VV"),     L31*SETUP!$H$3,     0),2)</f>
        <v>0</v>
      </c>
      <c r="Z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B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C31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D31" s="15">
        <f>IF([LUCRO TMP] &lt;&gt; 0, [LUCRO TMP] - SUMPRODUCT(N([ATIVO]=NC[[#This Row],[ATIVO]]),N(['[D/N']]="N"),N([ID]&lt;NC[[#This Row],[ID]]),N([PAR]=NC[[#This Row],[PAR]]), [LUCRO TMP]), 0)</f>
        <v>64.099999999999994</v>
      </c>
      <c r="AE31" s="15">
        <f>IF([U] = "U", SUMPRODUCT(N([ID]&lt;=NC[[#This Row],[ID]]),N([DATA BASE]=NC[[#This Row],[DATA BASE]]), N(['[D/N']] = "N"),    [LUCRO P/ OP]), 0)</f>
        <v>0</v>
      </c>
      <c r="AF31" s="15">
        <f>IF([U] = "U",[LUCRO '[N']] + SUMPRODUCT(N(MONTH([DATA BASE])&lt;MONTH(NC[[#This Row],[DATA BASE]]) ), [LUCRO '[N']]),0)</f>
        <v>0</v>
      </c>
      <c r="AG31" s="15">
        <f>IF([U] = "U", SUMPRODUCT(N([DATA BASE]=NC[[#This Row],[DATA BASE]]), N(['[D/N']] = "D"),    [LUCRO P/ OP]), 0)</f>
        <v>0</v>
      </c>
      <c r="AH31" s="20">
        <f>IF([ TRIB. '[N']] &gt; 0,     ROUND([ TRIB. '[N']]*0.15,    2),    0)</f>
        <v>0</v>
      </c>
      <c r="AI31" s="20">
        <f>IF([LUCRO TRIB. DT] &gt; 0,     ROUND([LUCRO TRIB. DT]*0.2,    2)  -  SUMPRODUCT(N([DATA BASE]=NC[[#This Row],[DATA BASE]]),    [IRRF FONTE]),    0)</f>
        <v>0</v>
      </c>
      <c r="AJ31" s="19">
        <f>[IR '[N']] + [IR DEVIDO DT]</f>
        <v>0</v>
      </c>
      <c r="AK31" s="20">
        <f>IF(AND([U] = "U",[IR DEVIDO] &gt; 0), [IR DEVIDO] + 8.9, 0)</f>
        <v>0</v>
      </c>
      <c r="AL31" s="20">
        <f>[LUCRO '[N']]  + [LUCRO TRIB. DT] - [RESGATE]</f>
        <v>0</v>
      </c>
    </row>
    <row r="32" spans="1:38" ht="11.25" customHeight="1">
      <c r="A32" s="13">
        <v>31</v>
      </c>
      <c r="B32" s="13"/>
      <c r="C32" s="13" t="s">
        <v>82</v>
      </c>
      <c r="D32" s="13" t="s">
        <v>24</v>
      </c>
      <c r="E32" s="14">
        <v>41032</v>
      </c>
      <c r="F32" s="13">
        <v>400</v>
      </c>
      <c r="G32" s="15">
        <v>0.27</v>
      </c>
      <c r="H32" s="13" t="s">
        <v>6</v>
      </c>
      <c r="I32" s="14">
        <f>WORKDAY(NC[[#This Row],[DATA]],1,0)</f>
        <v>41033</v>
      </c>
      <c r="J32" s="22">
        <f>EOMONTH(NC[[#This Row],[DATA DE LIQUIDAÇÃO]],0)</f>
        <v>41060</v>
      </c>
      <c r="K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2" s="15">
        <f>[QTDE]*[PREÇO]</f>
        <v>108</v>
      </c>
      <c r="M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N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P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Q32" s="15">
        <f>SETUP!$E$3*SUMPRODUCT(N([DATA]=NC[[#This Row],[DATA]]),N([ID]&lt;=NC[[#This Row],[ID]]))</f>
        <v>14.9</v>
      </c>
      <c r="R32" s="15">
        <f>TRUNC([CORRETAGEM]*SETUP!$F$3,2)</f>
        <v>0.28999999999999998</v>
      </c>
      <c r="S32" s="15">
        <f>ROUND([CORRETAGEM]*SETUP!$G$3,2)</f>
        <v>0.57999999999999996</v>
      </c>
      <c r="T32" s="15">
        <f>[VALOR LÍQUIDO DAS OPERAÇÕES]-[TAXA DE LIQUIDAÇÃO]-[EMOLUMENTOS]-[TAXA DE REGISTRO]-[CORRETAGEM]-[ISS]-IF(['[D/N']]="D",    0,    [OUTRAS BOVESPA])</f>
        <v>-123.89</v>
      </c>
      <c r="U32" s="15">
        <f>IF(AND(['[D/N']]="D",    [T]="CV"),    ROUND([LÍQUIDO BASE]*0.01, 2),    0)</f>
        <v>0</v>
      </c>
      <c r="V32" s="15">
        <f>IF([PREÇO] &gt; 0,    [LÍQUIDO BASE]-SUMPRODUCT(N([DATA]=NC[[#This Row],[DATA]]),    [IRRF FONTE]),    0)</f>
        <v>-123.89</v>
      </c>
      <c r="W32" s="20">
        <f>[LÍQUIDO]-SUMPRODUCT(N([DATA]=NC[[#This Row],[DATA]]),N([ID]=(NC[[#This Row],[ID]]-1)),[LÍQUIDO])</f>
        <v>-123.89</v>
      </c>
      <c r="X32" s="15">
        <f>IF([T] = "VC", ABS([VALOR OP]) / [QTDE], [VALOR OP]/[QTDE])</f>
        <v>-0.30972500000000003</v>
      </c>
      <c r="Y32" s="15">
        <f>TRUNC(IF(OR([T]="CV",[T]="VV"),     L32*SETUP!$H$3,     0),2)</f>
        <v>0</v>
      </c>
      <c r="Z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A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B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2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2" s="15">
        <f>IF([LUCRO TMP] &lt;&gt; 0, [LUCRO TMP] - SUMPRODUCT(N([ATIVO]=NC[[#This Row],[ATIVO]]),N(['[D/N']]="N"),N([ID]&lt;NC[[#This Row],[ID]]),N([PAR]=NC[[#This Row],[PAR]]), [LUCRO TMP]), 0)</f>
        <v>0</v>
      </c>
      <c r="AE32" s="15">
        <f>IF([U] = "U", SUMPRODUCT(N([ID]&lt;=NC[[#This Row],[ID]]),N([DATA BASE]=NC[[#This Row],[DATA BASE]]), N(['[D/N']] = "N"),    [LUCRO P/ OP]), 0)</f>
        <v>0</v>
      </c>
      <c r="AF32" s="15">
        <f>IF([U] = "U",[LUCRO '[N']] + SUMPRODUCT(N(MONTH([DATA BASE])&lt;MONTH(NC[[#This Row],[DATA BASE]]) ), [LUCRO '[N']]),0)</f>
        <v>0</v>
      </c>
      <c r="AG32" s="15">
        <f>IF([U] = "U", SUMPRODUCT(N([DATA BASE]=NC[[#This Row],[DATA BASE]]), N(['[D/N']] = "D"),    [LUCRO P/ OP]), 0)</f>
        <v>0</v>
      </c>
      <c r="AH32" s="20">
        <f>IF([ TRIB. '[N']] &gt; 0,     ROUND([ TRIB. '[N']]*0.15,    2),    0)</f>
        <v>0</v>
      </c>
      <c r="AI32" s="20">
        <f>IF([LUCRO TRIB. DT] &gt; 0,     ROUND([LUCRO TRIB. DT]*0.2,    2)  -  SUMPRODUCT(N([DATA BASE]=NC[[#This Row],[DATA BASE]]),    [IRRF FONTE]),    0)</f>
        <v>0</v>
      </c>
      <c r="AJ32" s="19">
        <f>[IR '[N']] + [IR DEVIDO DT]</f>
        <v>0</v>
      </c>
      <c r="AK32" s="20">
        <f>IF(AND([U] = "U",[IR DEVIDO] &gt; 0), [IR DEVIDO] + 8.9, 0)</f>
        <v>0</v>
      </c>
      <c r="AL32" s="20">
        <f>[LUCRO '[N']]  + [LUCRO TRIB. DT] - [RESGATE]</f>
        <v>0</v>
      </c>
    </row>
    <row r="33" spans="1:38">
      <c r="A33" s="13">
        <v>32</v>
      </c>
      <c r="B33" s="13"/>
      <c r="C33" s="61" t="s">
        <v>85</v>
      </c>
      <c r="D33" s="13" t="s">
        <v>24</v>
      </c>
      <c r="E33" s="14">
        <v>41036</v>
      </c>
      <c r="F33" s="13">
        <v>100</v>
      </c>
      <c r="G33" s="15">
        <v>0.3</v>
      </c>
      <c r="H33" s="13" t="s">
        <v>6</v>
      </c>
      <c r="I33" s="14">
        <f>WORKDAY(NC[[#This Row],[DATA]],1,0)</f>
        <v>41037</v>
      </c>
      <c r="J33" s="22">
        <f>EOMONTH(NC[[#This Row],[DATA DE LIQUIDAÇÃO]],0)</f>
        <v>41060</v>
      </c>
      <c r="K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3" s="15">
        <f>[QTDE]*[PREÇO]</f>
        <v>30</v>
      </c>
      <c r="M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N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P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Q33" s="15">
        <f>SETUP!$E$3*SUMPRODUCT(N([DATA]=NC[[#This Row],[DATA]]),N([ID]&lt;=NC[[#This Row],[ID]]))</f>
        <v>14.9</v>
      </c>
      <c r="R33" s="15">
        <f>TRUNC([CORRETAGEM]*SETUP!$F$3,2)</f>
        <v>0.28999999999999998</v>
      </c>
      <c r="S33" s="15">
        <f>ROUND([CORRETAGEM]*SETUP!$G$3,2)</f>
        <v>0.57999999999999996</v>
      </c>
      <c r="T33" s="15">
        <f>[VALOR LÍQUIDO DAS OPERAÇÕES]-[TAXA DE LIQUIDAÇÃO]-[EMOLUMENTOS]-[TAXA DE REGISTRO]-[CORRETAGEM]-[ISS]-IF(['[D/N']]="D",    0,    [OUTRAS BOVESPA])</f>
        <v>-45.8</v>
      </c>
      <c r="U33" s="15">
        <f>IF(AND(['[D/N']]="D",    [T]="CV"),    ROUND([LÍQUIDO BASE]*0.01, 2),    0)</f>
        <v>0</v>
      </c>
      <c r="V33" s="15">
        <f>IF([PREÇO] &gt; 0,    [LÍQUIDO BASE]-SUMPRODUCT(N([DATA]=NC[[#This Row],[DATA]]),    [IRRF FONTE]),    0)</f>
        <v>-45.8</v>
      </c>
      <c r="W33" s="20">
        <f>[LÍQUIDO]-SUMPRODUCT(N([DATA]=NC[[#This Row],[DATA]]),N([ID]=(NC[[#This Row],[ID]]-1)),[LÍQUIDO])</f>
        <v>-45.8</v>
      </c>
      <c r="X33" s="15">
        <f>IF([T] = "VC", ABS([VALOR OP]) / [QTDE], [VALOR OP]/[QTDE])</f>
        <v>-0.45799999999999996</v>
      </c>
      <c r="Y33" s="15">
        <f>TRUNC(IF(OR([T]="CV",[T]="VV"),     L33*SETUP!$H$3,     0),2)</f>
        <v>0</v>
      </c>
      <c r="Z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A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B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3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3" s="15">
        <f>IF([LUCRO TMP] &lt;&gt; 0, [LUCRO TMP] - SUMPRODUCT(N([ATIVO]=NC[[#This Row],[ATIVO]]),N(['[D/N']]="N"),N([ID]&lt;NC[[#This Row],[ID]]),N([PAR]=NC[[#This Row],[PAR]]), [LUCRO TMP]), 0)</f>
        <v>0</v>
      </c>
      <c r="AE33" s="15">
        <f>IF([U] = "U", SUMPRODUCT(N([ID]&lt;=NC[[#This Row],[ID]]),N([DATA BASE]=NC[[#This Row],[DATA BASE]]), N(['[D/N']] = "N"),    [LUCRO P/ OP]), 0)</f>
        <v>0</v>
      </c>
      <c r="AF33" s="15">
        <f>IF([U] = "U",[LUCRO '[N']] + SUMPRODUCT(N(MONTH([DATA BASE])&lt;MONTH(NC[[#This Row],[DATA BASE]]) ), [LUCRO '[N']]),0)</f>
        <v>0</v>
      </c>
      <c r="AG33" s="15">
        <f>IF([U] = "U", SUMPRODUCT(N([DATA BASE]=NC[[#This Row],[DATA BASE]]), N(['[D/N']] = "D"),    [LUCRO P/ OP]), 0)</f>
        <v>0</v>
      </c>
      <c r="AH33" s="20">
        <f>IF([ TRIB. '[N']] &gt; 0,     ROUND([ TRIB. '[N']]*0.15,    2),    0)</f>
        <v>0</v>
      </c>
      <c r="AI33" s="20">
        <f>IF([LUCRO TRIB. DT] &gt; 0,     ROUND([LUCRO TRIB. DT]*0.2,    2)  -  SUMPRODUCT(N([DATA BASE]=NC[[#This Row],[DATA BASE]]),    [IRRF FONTE]),    0)</f>
        <v>0</v>
      </c>
      <c r="AJ33" s="19">
        <f>[IR '[N']] + [IR DEVIDO DT]</f>
        <v>0</v>
      </c>
      <c r="AK33" s="20">
        <f>IF(AND([U] = "U",[IR DEVIDO] &gt; 0), [IR DEVIDO] + 8.9, 0)</f>
        <v>0</v>
      </c>
      <c r="AL33" s="20">
        <f>[LUCRO '[N']]  + [LUCRO TRIB. DT] - [RESGATE]</f>
        <v>0</v>
      </c>
    </row>
    <row r="34" spans="1:38">
      <c r="A34" s="13">
        <v>33</v>
      </c>
      <c r="B34" s="13"/>
      <c r="C34" s="61" t="s">
        <v>86</v>
      </c>
      <c r="D34" s="13" t="s">
        <v>72</v>
      </c>
      <c r="E34" s="14">
        <v>41036</v>
      </c>
      <c r="F34" s="13">
        <v>100</v>
      </c>
      <c r="G34" s="15">
        <v>1.52</v>
      </c>
      <c r="H34" s="13" t="s">
        <v>6</v>
      </c>
      <c r="I34" s="14">
        <f>WORKDAY(NC[[#This Row],[DATA]],1,0)</f>
        <v>41037</v>
      </c>
      <c r="J34" s="22">
        <f>EOMONTH(NC[[#This Row],[DATA DE LIQUIDAÇÃO]],0)</f>
        <v>41060</v>
      </c>
      <c r="K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4" s="15">
        <f>[QTDE]*[PREÇO]</f>
        <v>152</v>
      </c>
      <c r="M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N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O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Q34" s="15">
        <f>SETUP!$E$3*SUMPRODUCT(N([DATA]=NC[[#This Row],[DATA]]),N([ID]&lt;=NC[[#This Row],[ID]]))</f>
        <v>29.8</v>
      </c>
      <c r="R34" s="15">
        <f>TRUNC([CORRETAGEM]*SETUP!$F$3,2)</f>
        <v>0.59</v>
      </c>
      <c r="S34" s="15">
        <f>ROUND([CORRETAGEM]*SETUP!$G$3,2)</f>
        <v>1.1599999999999999</v>
      </c>
      <c r="T34" s="15">
        <f>[VALOR LÍQUIDO DAS OPERAÇÕES]-[TAXA DE LIQUIDAÇÃO]-[EMOLUMENTOS]-[TAXA DE REGISTRO]-[CORRETAGEM]-[ISS]-IF(['[D/N']]="D",    0,    [OUTRAS BOVESPA])</f>
        <v>90.22</v>
      </c>
      <c r="U34" s="15">
        <f>IF(AND(['[D/N']]="D",    [T]="CV"),    ROUND([LÍQUIDO BASE]*0.01, 2),    0)</f>
        <v>0</v>
      </c>
      <c r="V34" s="15">
        <f>IF([PREÇO] &gt; 0,    [LÍQUIDO BASE]-SUMPRODUCT(N([DATA]=NC[[#This Row],[DATA]]),    [IRRF FONTE]),    0)</f>
        <v>90.22</v>
      </c>
      <c r="W34" s="20">
        <f>[LÍQUIDO]-SUMPRODUCT(N([DATA]=NC[[#This Row],[DATA]]),N([ID]=(NC[[#This Row],[ID]]-1)),[LÍQUIDO])</f>
        <v>136.01999999999998</v>
      </c>
      <c r="X34" s="15">
        <f>IF([T] = "VC", ABS([VALOR OP]) / [QTDE], [VALOR OP]/[QTDE])</f>
        <v>1.3601999999999999</v>
      </c>
      <c r="Y34" s="15">
        <f>TRUNC(IF(OR([T]="CV",[T]="VV"),     L34*SETUP!$H$3,     0),2)</f>
        <v>0</v>
      </c>
      <c r="Z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A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C34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4" s="15">
        <f>IF([LUCRO TMP] &lt;&gt; 0, [LUCRO TMP] - SUMPRODUCT(N([ATIVO]=NC[[#This Row],[ATIVO]]),N(['[D/N']]="N"),N([ID]&lt;NC[[#This Row],[ID]]),N([PAR]=NC[[#This Row],[PAR]]), [LUCRO TMP]), 0)</f>
        <v>0</v>
      </c>
      <c r="AE34" s="15">
        <f>IF([U] = "U", SUMPRODUCT(N([ID]&lt;=NC[[#This Row],[ID]]),N([DATA BASE]=NC[[#This Row],[DATA BASE]]), N(['[D/N']] = "N"),    [LUCRO P/ OP]), 0)</f>
        <v>0</v>
      </c>
      <c r="AF34" s="15">
        <f>IF([U] = "U",[LUCRO '[N']] + SUMPRODUCT(N(MONTH([DATA BASE])&lt;MONTH(NC[[#This Row],[DATA BASE]]) ), [LUCRO '[N']]),0)</f>
        <v>0</v>
      </c>
      <c r="AG34" s="15">
        <f>IF([U] = "U", SUMPRODUCT(N([DATA BASE]=NC[[#This Row],[DATA BASE]]), N(['[D/N']] = "D"),    [LUCRO P/ OP]), 0)</f>
        <v>0</v>
      </c>
      <c r="AH34" s="20">
        <f>IF([ TRIB. '[N']] &gt; 0,     ROUND([ TRIB. '[N']]*0.15,    2),    0)</f>
        <v>0</v>
      </c>
      <c r="AI34" s="20">
        <f>IF([LUCRO TRIB. DT] &gt; 0,     ROUND([LUCRO TRIB. DT]*0.2,    2)  -  SUMPRODUCT(N([DATA BASE]=NC[[#This Row],[DATA BASE]]),    [IRRF FONTE]),    0)</f>
        <v>0</v>
      </c>
      <c r="AJ34" s="19">
        <f>[IR '[N']] + [IR DEVIDO DT]</f>
        <v>0</v>
      </c>
      <c r="AK34" s="20">
        <f>IF(AND([U] = "U",[IR DEVIDO] &gt; 0), [IR DEVIDO] + 8.9, 0)</f>
        <v>0</v>
      </c>
      <c r="AL34" s="20">
        <f>[LUCRO '[N']]  + [LUCRO TRIB. DT] - [RESGATE]</f>
        <v>0</v>
      </c>
    </row>
    <row r="35" spans="1:38">
      <c r="A35" s="13">
        <v>34</v>
      </c>
      <c r="B35" s="13"/>
      <c r="C35" s="61" t="s">
        <v>71</v>
      </c>
      <c r="D35" s="31" t="s">
        <v>73</v>
      </c>
      <c r="E35" s="32">
        <v>41043</v>
      </c>
      <c r="F35" s="31">
        <v>100</v>
      </c>
      <c r="G35" s="30">
        <v>7.0000000000000007E-2</v>
      </c>
      <c r="H35" s="31" t="s">
        <v>6</v>
      </c>
      <c r="I35" s="32">
        <f>WORKDAY(NC[[#This Row],[DATA]],1,0)</f>
        <v>41044</v>
      </c>
      <c r="J35" s="33">
        <f>EOMONTH(NC[[#This Row],[DATA DE LIQUIDAÇÃO]],0)</f>
        <v>41060</v>
      </c>
      <c r="K35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5" s="30">
        <f>[QTDE]*[PREÇO]</f>
        <v>7.0000000000000009</v>
      </c>
      <c r="M35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N35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35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35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35" s="30">
        <f>SETUP!$E$3*SUMPRODUCT(N([DATA]=NC[[#This Row],[DATA]]),N([ID]&lt;=NC[[#This Row],[ID]]))</f>
        <v>14.9</v>
      </c>
      <c r="R35" s="30">
        <f>TRUNC([CORRETAGEM]*SETUP!$F$3,2)</f>
        <v>0.28999999999999998</v>
      </c>
      <c r="S35" s="30">
        <f>ROUND([CORRETAGEM]*SETUP!$G$3,2)</f>
        <v>0.57999999999999996</v>
      </c>
      <c r="T35" s="30">
        <f>[VALOR LÍQUIDO DAS OPERAÇÕES]-[TAXA DE LIQUIDAÇÃO]-[EMOLUMENTOS]-[TAXA DE REGISTRO]-[CORRETAGEM]-[ISS]-IF(['[D/N']]="D",    0,    [OUTRAS BOVESPA])</f>
        <v>-22.77</v>
      </c>
      <c r="U35" s="30">
        <f>IF(AND(['[D/N']]="D",    [T]="CV"),    ROUND([LÍQUIDO BASE]*0.01, 2),    0)</f>
        <v>0</v>
      </c>
      <c r="V35" s="15">
        <f>IF([PREÇO] &gt; 0,    [LÍQUIDO BASE]-SUMPRODUCT(N([DATA]=NC[[#This Row],[DATA]]),    [IRRF FONTE]),    0)</f>
        <v>-22.77</v>
      </c>
      <c r="W35" s="34">
        <f>[LÍQUIDO]-SUMPRODUCT(N([DATA]=NC[[#This Row],[DATA]]),N([ID]=(NC[[#This Row],[ID]]-1)),[LÍQUIDO])</f>
        <v>-22.77</v>
      </c>
      <c r="X35" s="30">
        <f>IF([T] = "VC", ABS([VALOR OP]) / [QTDE], [VALOR OP]/[QTDE])</f>
        <v>0.22769999999999999</v>
      </c>
      <c r="Y35" s="30">
        <f>TRUNC(IF(OR([T]="CV",[T]="VV"),     L35*SETUP!$H$3,     0),2)</f>
        <v>0</v>
      </c>
      <c r="Z35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35" s="35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B35" s="3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C35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D35" s="30">
        <f>IF([LUCRO TMP] &lt;&gt; 0, [LUCRO TMP] - SUMPRODUCT(N([ATIVO]=NC[[#This Row],[ATIVO]]),N(['[D/N']]="N"),N([ID]&lt;NC[[#This Row],[ID]]),N([PAR]=NC[[#This Row],[PAR]]), [LUCRO TMP]), 0)</f>
        <v>154.20000000000002</v>
      </c>
      <c r="AE35" s="30">
        <f>IF([U] = "U", SUMPRODUCT(N([ID]&lt;=NC[[#This Row],[ID]]),N([DATA BASE]=NC[[#This Row],[DATA BASE]]), N(['[D/N']] = "N"),    [LUCRO P/ OP]), 0)</f>
        <v>0</v>
      </c>
      <c r="AF35" s="15">
        <f>IF([U] = "U",[LUCRO '[N']] + SUMPRODUCT(N(MONTH([DATA BASE])&lt;MONTH(NC[[#This Row],[DATA BASE]]) ), [LUCRO '[N']]),0)</f>
        <v>0</v>
      </c>
      <c r="AG35" s="30">
        <f>IF([U] = "U", SUMPRODUCT(N([DATA BASE]=NC[[#This Row],[DATA BASE]]), N(['[D/N']] = "D"),    [LUCRO P/ OP]), 0)</f>
        <v>0</v>
      </c>
      <c r="AH35" s="34">
        <f>IF([ TRIB. '[N']] &gt; 0,     ROUND([ TRIB. '[N']]*0.15,    2),    0)</f>
        <v>0</v>
      </c>
      <c r="AI35" s="34">
        <f>IF([LUCRO TRIB. DT] &gt; 0,     ROUND([LUCRO TRIB. DT]*0.2,    2)  -  SUMPRODUCT(N([DATA BASE]=NC[[#This Row],[DATA BASE]]),    [IRRF FONTE]),    0)</f>
        <v>0</v>
      </c>
      <c r="AJ35" s="36">
        <f>[IR '[N']] + [IR DEVIDO DT]</f>
        <v>0</v>
      </c>
      <c r="AK35" s="34">
        <f>IF(AND([U] = "U",[IR DEVIDO] &gt; 0), [IR DEVIDO] + 8.9, 0)</f>
        <v>0</v>
      </c>
      <c r="AL35" s="34">
        <f>[LUCRO '[N']]  + [LUCRO TRIB. DT] - [RESGATE]</f>
        <v>0</v>
      </c>
    </row>
    <row r="36" spans="1:38">
      <c r="A36" s="13">
        <v>35</v>
      </c>
      <c r="B36" s="48"/>
      <c r="C36" s="61" t="s">
        <v>98</v>
      </c>
      <c r="D36" s="48" t="s">
        <v>72</v>
      </c>
      <c r="E36" s="49">
        <v>41043</v>
      </c>
      <c r="F36" s="48">
        <v>900</v>
      </c>
      <c r="G36" s="47">
        <v>1.02</v>
      </c>
      <c r="H36" s="48" t="s">
        <v>6</v>
      </c>
      <c r="I36" s="49">
        <f>WORKDAY(NC[[#This Row],[DATA]],1,0)</f>
        <v>41044</v>
      </c>
      <c r="J36" s="50">
        <f>EOMONTH(NC[[#This Row],[DATA DE LIQUIDAÇÃO]],0)</f>
        <v>41060</v>
      </c>
      <c r="K36" s="48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6" s="47">
        <f>[QTDE]*[PREÇO]</f>
        <v>918</v>
      </c>
      <c r="M36" s="4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N36" s="4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36" s="4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P36" s="4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Q36" s="47">
        <f>SETUP!$E$3*SUMPRODUCT(N([DATA]=NC[[#This Row],[DATA]]),N([ID]&lt;=NC[[#This Row],[ID]]))</f>
        <v>29.8</v>
      </c>
      <c r="R36" s="47">
        <f>TRUNC([CORRETAGEM]*SETUP!$F$3,2)</f>
        <v>0.59</v>
      </c>
      <c r="S36" s="47">
        <f>ROUND([CORRETAGEM]*SETUP!$G$3,2)</f>
        <v>1.1599999999999999</v>
      </c>
      <c r="T36" s="47">
        <f>[VALOR LÍQUIDO DAS OPERAÇÕES]-[TAXA DE LIQUIDAÇÃO]-[EMOLUMENTOS]-[TAXA DE REGISTRO]-[CORRETAGEM]-[ISS]-IF(['[D/N']]="D",    0,    [OUTRAS BOVESPA])</f>
        <v>878.22</v>
      </c>
      <c r="U36" s="47">
        <f>IF(AND(['[D/N']]="D",    [T]="CV"),    ROUND([LÍQUIDO BASE]*0.01, 2),    0)</f>
        <v>0</v>
      </c>
      <c r="V36" s="15">
        <f>IF([PREÇO] &gt; 0,    [LÍQUIDO BASE]-SUMPRODUCT(N([DATA]=NC[[#This Row],[DATA]]),    [IRRF FONTE]),    0)</f>
        <v>878.22</v>
      </c>
      <c r="W36" s="51">
        <f>[LÍQUIDO]-SUMPRODUCT(N([DATA]=NC[[#This Row],[DATA]]),N([ID]=(NC[[#This Row],[ID]]-1)),[LÍQUIDO])</f>
        <v>900.99</v>
      </c>
      <c r="X36" s="47">
        <f>IF([T] = "VC", ABS([VALOR OP]) / [QTDE], [VALOR OP]/[QTDE])</f>
        <v>1.0011000000000001</v>
      </c>
      <c r="Y36" s="47">
        <f>TRUNC(IF(OR([T]="CV",[T]="VV"),     L36*SETUP!$H$3,     0),2)</f>
        <v>0.04</v>
      </c>
      <c r="Z36" s="48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A36" s="52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36" s="52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C36" s="5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6" s="47">
        <f>IF([LUCRO TMP] &lt;&gt; 0, [LUCRO TMP] - SUMPRODUCT(N([ATIVO]=NC[[#This Row],[ATIVO]]),N(['[D/N']]="N"),N([ID]&lt;NC[[#This Row],[ID]]),N([PAR]=NC[[#This Row],[PAR]]), [LUCRO TMP]), 0)</f>
        <v>0</v>
      </c>
      <c r="AE36" s="47">
        <f>IF([U] = "U", SUMPRODUCT(N([ID]&lt;=NC[[#This Row],[ID]]),N([DATA BASE]=NC[[#This Row],[DATA BASE]]), N(['[D/N']] = "N"),    [LUCRO P/ OP]), 0)</f>
        <v>0</v>
      </c>
      <c r="AF36" s="15">
        <f>IF([U] = "U",[LUCRO '[N']] + SUMPRODUCT(N(MONTH([DATA BASE])&lt;MONTH(NC[[#This Row],[DATA BASE]]) ), [LUCRO '[N']]),0)</f>
        <v>0</v>
      </c>
      <c r="AG36" s="47">
        <f>IF([U] = "U", SUMPRODUCT(N([DATA BASE]=NC[[#This Row],[DATA BASE]]), N(['[D/N']] = "D"),    [LUCRO P/ OP]), 0)</f>
        <v>0</v>
      </c>
      <c r="AH36" s="51">
        <f>IF([ TRIB. '[N']] &gt; 0,     ROUND([ TRIB. '[N']]*0.15,    2),    0)</f>
        <v>0</v>
      </c>
      <c r="AI36" s="51">
        <f>IF([LUCRO TRIB. DT] &gt; 0,     ROUND([LUCRO TRIB. DT]*0.2,    2)  -  SUMPRODUCT(N([DATA BASE]=NC[[#This Row],[DATA BASE]]),    [IRRF FONTE]),    0)</f>
        <v>0</v>
      </c>
      <c r="AJ36" s="54">
        <f>[IR '[N']] + [IR DEVIDO DT]</f>
        <v>0</v>
      </c>
      <c r="AK36" s="51">
        <f>IF(AND([U] = "U",[IR DEVIDO] &gt; 0), [IR DEVIDO] + 8.9, 0)</f>
        <v>0</v>
      </c>
      <c r="AL36" s="51">
        <f>[LUCRO '[N']]  + [LUCRO TRIB. DT] - [RESGATE]</f>
        <v>0</v>
      </c>
    </row>
    <row r="37" spans="1:38">
      <c r="A37" s="13">
        <v>36</v>
      </c>
      <c r="B37" s="48"/>
      <c r="C37" s="61" t="s">
        <v>93</v>
      </c>
      <c r="D37" s="48" t="s">
        <v>24</v>
      </c>
      <c r="E37" s="49">
        <v>41043</v>
      </c>
      <c r="F37" s="48">
        <v>900</v>
      </c>
      <c r="G37" s="47">
        <v>0.5</v>
      </c>
      <c r="H37" s="48" t="s">
        <v>6</v>
      </c>
      <c r="I37" s="49">
        <f>WORKDAY(NC[[#This Row],[DATA]],1,0)</f>
        <v>41044</v>
      </c>
      <c r="J37" s="50">
        <f>EOMONTH(NC[[#This Row],[DATA DE LIQUIDAÇÃO]],0)</f>
        <v>41060</v>
      </c>
      <c r="K37" s="48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7" s="47">
        <f>[QTDE]*[PREÇO]</f>
        <v>450</v>
      </c>
      <c r="M37" s="4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N37" s="4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O37" s="4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P37" s="4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Q37" s="47">
        <f>SETUP!$E$3*SUMPRODUCT(N([DATA]=NC[[#This Row],[DATA]]),N([ID]&lt;=NC[[#This Row],[ID]]))</f>
        <v>44.7</v>
      </c>
      <c r="R37" s="47">
        <f>TRUNC([CORRETAGEM]*SETUP!$F$3,2)</f>
        <v>0.89</v>
      </c>
      <c r="S37" s="47">
        <f>ROUND([CORRETAGEM]*SETUP!$G$3,2)</f>
        <v>1.74</v>
      </c>
      <c r="T37" s="47">
        <f>[VALOR LÍQUIDO DAS OPERAÇÕES]-[TAXA DE LIQUIDAÇÃO]-[EMOLUMENTOS]-[TAXA DE REGISTRO]-[CORRETAGEM]-[ISS]-IF(['[D/N']]="D",    0,    [OUTRAS BOVESPA])</f>
        <v>411.85</v>
      </c>
      <c r="U37" s="47">
        <f>IF(AND(['[D/N']]="D",    [T]="CV"),    ROUND([LÍQUIDO BASE]*0.01, 2),    0)</f>
        <v>0</v>
      </c>
      <c r="V37" s="15">
        <f>IF([PREÇO] &gt; 0,    [LÍQUIDO BASE]-SUMPRODUCT(N([DATA]=NC[[#This Row],[DATA]]),    [IRRF FONTE]),    0)</f>
        <v>411.85</v>
      </c>
      <c r="W37" s="51">
        <f>[LÍQUIDO]-SUMPRODUCT(N([DATA]=NC[[#This Row],[DATA]]),N([ID]=(NC[[#This Row],[ID]]-1)),[LÍQUIDO])</f>
        <v>-466.37</v>
      </c>
      <c r="X37" s="47">
        <f>IF([T] = "VC", ABS([VALOR OP]) / [QTDE], [VALOR OP]/[QTDE])</f>
        <v>-0.51818888888888892</v>
      </c>
      <c r="Y37" s="47">
        <f>TRUNC(IF(OR([T]="CV",[T]="VV"),     L37*SETUP!$H$3,     0),2)</f>
        <v>0</v>
      </c>
      <c r="Z37" s="48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A37" s="52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B37" s="52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7" s="5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7" s="47">
        <f>IF([LUCRO TMP] &lt;&gt; 0, [LUCRO TMP] - SUMPRODUCT(N([ATIVO]=NC[[#This Row],[ATIVO]]),N(['[D/N']]="N"),N([ID]&lt;NC[[#This Row],[ID]]),N([PAR]=NC[[#This Row],[PAR]]), [LUCRO TMP]), 0)</f>
        <v>0</v>
      </c>
      <c r="AE37" s="47">
        <f>IF([U] = "U", SUMPRODUCT(N([ID]&lt;=NC[[#This Row],[ID]]),N([DATA BASE]=NC[[#This Row],[DATA BASE]]), N(['[D/N']] = "N"),    [LUCRO P/ OP]), 0)</f>
        <v>0</v>
      </c>
      <c r="AF37" s="15">
        <f>IF([U] = "U",[LUCRO '[N']] + SUMPRODUCT(N(MONTH([DATA BASE])&lt;MONTH(NC[[#This Row],[DATA BASE]]) ), [LUCRO '[N']]),0)</f>
        <v>0</v>
      </c>
      <c r="AG37" s="47">
        <f>IF([U] = "U", SUMPRODUCT(N([DATA BASE]=NC[[#This Row],[DATA BASE]]), N(['[D/N']] = "D"),    [LUCRO P/ OP]), 0)</f>
        <v>0</v>
      </c>
      <c r="AH37" s="51">
        <f>IF([ TRIB. '[N']] &gt; 0,     ROUND([ TRIB. '[N']]*0.15,    2),    0)</f>
        <v>0</v>
      </c>
      <c r="AI37" s="51">
        <f>IF([LUCRO TRIB. DT] &gt; 0,     ROUND([LUCRO TRIB. DT]*0.2,    2)  -  SUMPRODUCT(N([DATA BASE]=NC[[#This Row],[DATA BASE]]),    [IRRF FONTE]),    0)</f>
        <v>0</v>
      </c>
      <c r="AJ37" s="54">
        <f>[IR '[N']] + [IR DEVIDO DT]</f>
        <v>0</v>
      </c>
      <c r="AK37" s="51">
        <f>IF(AND([U] = "U",[IR DEVIDO] &gt; 0), [IR DEVIDO] + 8.9, 0)</f>
        <v>0</v>
      </c>
      <c r="AL37" s="51">
        <f>[LUCRO '[N']]  + [LUCRO TRIB. DT] - [RESGATE]</f>
        <v>0</v>
      </c>
    </row>
    <row r="38" spans="1:38">
      <c r="A38" s="13">
        <v>37</v>
      </c>
      <c r="B38" s="13"/>
      <c r="C38" s="61" t="s">
        <v>114</v>
      </c>
      <c r="D38" s="13" t="s">
        <v>24</v>
      </c>
      <c r="E38" s="14">
        <v>41045</v>
      </c>
      <c r="F38" s="13">
        <v>200</v>
      </c>
      <c r="G38" s="15">
        <v>0.69</v>
      </c>
      <c r="H38" s="13" t="s">
        <v>6</v>
      </c>
      <c r="I38" s="14">
        <f>WORKDAY(NC[[#This Row],[DATA]],1,0)</f>
        <v>41046</v>
      </c>
      <c r="J38" s="62">
        <f>EOMONTH(NC[[#This Row],[DATA DE LIQUIDAÇÃO]],0)</f>
        <v>41060</v>
      </c>
      <c r="K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8" s="15">
        <f>[QTDE]*[PREÇO]</f>
        <v>138</v>
      </c>
      <c r="M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N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O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P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Q38" s="15">
        <f>SETUP!$E$3*SUMPRODUCT(N([DATA]=NC[[#This Row],[DATA]]),N([ID]&lt;=NC[[#This Row],[ID]]))</f>
        <v>14.9</v>
      </c>
      <c r="R38" s="15">
        <f>TRUNC([CORRETAGEM]*SETUP!$F$3,2)</f>
        <v>0.28999999999999998</v>
      </c>
      <c r="S38" s="15">
        <f>ROUND([CORRETAGEM]*SETUP!$G$3,2)</f>
        <v>0.57999999999999996</v>
      </c>
      <c r="T38" s="15">
        <f>[VALOR LÍQUIDO DAS OPERAÇÕES]-[TAXA DE LIQUIDAÇÃO]-[EMOLUMENTOS]-[TAXA DE REGISTRO]-[CORRETAGEM]-[ISS]-IF(['[D/N']]="D",    0,    [OUTRAS BOVESPA])</f>
        <v>-153.94000000000003</v>
      </c>
      <c r="U38" s="15">
        <f>IF(AND(['[D/N']]="D",    [T]="CV"),    ROUND([LÍQUIDO BASE]*0.01, 2),    0)</f>
        <v>0</v>
      </c>
      <c r="V38" s="15">
        <f>IF([PREÇO] &gt; 0,    [LÍQUIDO BASE]-SUMPRODUCT(N([DATA]=NC[[#This Row],[DATA]]),    [IRRF FONTE]),    0)</f>
        <v>-153.94000000000003</v>
      </c>
      <c r="W38" s="20">
        <f>[LÍQUIDO]-SUMPRODUCT(N([DATA]=NC[[#This Row],[DATA]]),N([ID]=(NC[[#This Row],[ID]]-1)),[LÍQUIDO])</f>
        <v>-153.94000000000003</v>
      </c>
      <c r="X38" s="15">
        <f>IF([T] = "VC", ABS([VALOR OP]) / [QTDE], [VALOR OP]/[QTDE])</f>
        <v>-0.76970000000000016</v>
      </c>
      <c r="Y38" s="15">
        <f>TRUNC(IF(OR([T]="CV",[T]="VV"),     L38*SETUP!$H$3,     0),2)</f>
        <v>0</v>
      </c>
      <c r="Z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A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B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8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8" s="15">
        <f>IF([LUCRO TMP] &lt;&gt; 0, [LUCRO TMP] - SUMPRODUCT(N([ATIVO]=NC[[#This Row],[ATIVO]]),N(['[D/N']]="N"),N([ID]&lt;NC[[#This Row],[ID]]),N([PAR]=NC[[#This Row],[PAR]]), [LUCRO TMP]), 0)</f>
        <v>0</v>
      </c>
      <c r="AE38" s="15">
        <f>IF([U] = "U", SUMPRODUCT(N([ID]&lt;=NC[[#This Row],[ID]]),N([DATA BASE]=NC[[#This Row],[DATA BASE]]), N(['[D/N']] = "N"),    [LUCRO P/ OP]), 0)</f>
        <v>0</v>
      </c>
      <c r="AF38" s="15">
        <f>IF([U] = "U",[LUCRO '[N']] + SUMPRODUCT(N(MONTH([DATA BASE])&lt;MONTH(NC[[#This Row],[DATA BASE]]) ), [LUCRO '[N']]),0)</f>
        <v>0</v>
      </c>
      <c r="AG38" s="15">
        <f>IF([U] = "U", SUMPRODUCT(N([DATA BASE]=NC[[#This Row],[DATA BASE]]), N(['[D/N']] = "D"),    [LUCRO P/ OP]), 0)</f>
        <v>0</v>
      </c>
      <c r="AH38" s="20">
        <f>IF([ TRIB. '[N']] &gt; 0,     ROUND([ TRIB. '[N']]*0.15,    2),    0)</f>
        <v>0</v>
      </c>
      <c r="AI38" s="20">
        <f>IF([LUCRO TRIB. DT] &gt; 0,     ROUND([LUCRO TRIB. DT]*0.2,    2)  -  SUMPRODUCT(N([DATA BASE]=NC[[#This Row],[DATA BASE]]),    [IRRF FONTE]),    0)</f>
        <v>0</v>
      </c>
      <c r="AJ38" s="19">
        <f>[IR '[N']] + [IR DEVIDO DT]</f>
        <v>0</v>
      </c>
      <c r="AK38" s="20">
        <f>IF(AND([U] = "U",[IR DEVIDO] &gt; 0), [IR DEVIDO] + 8.9, 0)</f>
        <v>0</v>
      </c>
      <c r="AL38" s="20">
        <f>[LUCRO '[N']]  + [LUCRO TRIB. DT] - [RESGATE]</f>
        <v>0</v>
      </c>
    </row>
    <row r="39" spans="1:38">
      <c r="A39" s="13">
        <v>38</v>
      </c>
      <c r="B39" s="13"/>
      <c r="C39" s="61" t="s">
        <v>115</v>
      </c>
      <c r="D39" s="13" t="s">
        <v>72</v>
      </c>
      <c r="E39" s="14">
        <v>41045</v>
      </c>
      <c r="F39" s="13">
        <v>200</v>
      </c>
      <c r="G39" s="15">
        <v>1.37</v>
      </c>
      <c r="H39" s="13" t="s">
        <v>6</v>
      </c>
      <c r="I39" s="14">
        <f>WORKDAY(NC[[#This Row],[DATA]],1,0)</f>
        <v>41046</v>
      </c>
      <c r="J39" s="62">
        <f>EOMONTH(NC[[#This Row],[DATA DE LIQUIDAÇÃO]],0)</f>
        <v>41060</v>
      </c>
      <c r="K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9" s="15">
        <f>[QTDE]*[PREÇO]</f>
        <v>274</v>
      </c>
      <c r="M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N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O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P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Q39" s="15">
        <f>SETUP!$E$3*SUMPRODUCT(N([DATA]=NC[[#This Row],[DATA]]),N([ID]&lt;=NC[[#This Row],[ID]]))</f>
        <v>29.8</v>
      </c>
      <c r="R39" s="15">
        <f>TRUNC([CORRETAGEM]*SETUP!$F$3,2)</f>
        <v>0.59</v>
      </c>
      <c r="S39" s="15">
        <f>ROUND([CORRETAGEM]*SETUP!$G$3,2)</f>
        <v>1.1599999999999999</v>
      </c>
      <c r="T39" s="15">
        <f>[VALOR LÍQUIDO DAS OPERAÇÕES]-[TAXA DE LIQUIDAÇÃO]-[EMOLUMENTOS]-[TAXA DE REGISTRO]-[CORRETAGEM]-[ISS]-IF(['[D/N']]="D",    0,    [OUTRAS BOVESPA])</f>
        <v>103.90999999999998</v>
      </c>
      <c r="U39" s="15">
        <f>IF(AND(['[D/N']]="D",    [T]="CV"),    ROUND([LÍQUIDO BASE]*0.01, 2),    0)</f>
        <v>0</v>
      </c>
      <c r="V39" s="15">
        <f>IF([PREÇO] &gt; 0,    [LÍQUIDO BASE]-SUMPRODUCT(N([DATA]=NC[[#This Row],[DATA]]),    [IRRF FONTE]),    0)</f>
        <v>103.90999999999998</v>
      </c>
      <c r="W39" s="20">
        <f>[LÍQUIDO]-SUMPRODUCT(N([DATA]=NC[[#This Row],[DATA]]),N([ID]=(NC[[#This Row],[ID]]-1)),[LÍQUIDO])</f>
        <v>257.85000000000002</v>
      </c>
      <c r="X39" s="15">
        <f>IF([T] = "VC", ABS([VALOR OP]) / [QTDE], [VALOR OP]/[QTDE])</f>
        <v>1.28925</v>
      </c>
      <c r="Y39" s="15">
        <f>TRUNC(IF(OR([T]="CV",[T]="VV"),     L39*SETUP!$H$3,     0),2)</f>
        <v>0.01</v>
      </c>
      <c r="Z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A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C39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9" s="15">
        <f>IF([LUCRO TMP] &lt;&gt; 0, [LUCRO TMP] - SUMPRODUCT(N([ATIVO]=NC[[#This Row],[ATIVO]]),N(['[D/N']]="N"),N([ID]&lt;NC[[#This Row],[ID]]),N([PAR]=NC[[#This Row],[PAR]]), [LUCRO TMP]), 0)</f>
        <v>0</v>
      </c>
      <c r="AE39" s="15">
        <f>IF([U] = "U", SUMPRODUCT(N([ID]&lt;=NC[[#This Row],[ID]]),N([DATA BASE]=NC[[#This Row],[DATA BASE]]), N(['[D/N']] = "N"),    [LUCRO P/ OP]), 0)</f>
        <v>0</v>
      </c>
      <c r="AF39" s="15">
        <f>IF([U] = "U",[LUCRO '[N']] + SUMPRODUCT(N(MONTH([DATA BASE])&lt;MONTH(NC[[#This Row],[DATA BASE]]) ), [LUCRO '[N']]),0)</f>
        <v>0</v>
      </c>
      <c r="AG39" s="15">
        <f>IF([U] = "U", SUMPRODUCT(N([DATA BASE]=NC[[#This Row],[DATA BASE]]), N(['[D/N']] = "D"),    [LUCRO P/ OP]), 0)</f>
        <v>0</v>
      </c>
      <c r="AH39" s="20">
        <f>IF([ TRIB. '[N']] &gt; 0,     ROUND([ TRIB. '[N']]*0.15,    2),    0)</f>
        <v>0</v>
      </c>
      <c r="AI39" s="20">
        <f>IF([LUCRO TRIB. DT] &gt; 0,     ROUND([LUCRO TRIB. DT]*0.2,    2)  -  SUMPRODUCT(N([DATA BASE]=NC[[#This Row],[DATA BASE]]),    [IRRF FONTE]),    0)</f>
        <v>0</v>
      </c>
      <c r="AJ39" s="19">
        <f>[IR '[N']] + [IR DEVIDO DT]</f>
        <v>0</v>
      </c>
      <c r="AK39" s="20">
        <f>IF(AND([U] = "U",[IR DEVIDO] &gt; 0), [IR DEVIDO] + 8.9, 0)</f>
        <v>0</v>
      </c>
      <c r="AL39" s="20">
        <f>[LUCRO '[N']]  + [LUCRO TRIB. DT] - [RESGATE]</f>
        <v>0</v>
      </c>
    </row>
    <row r="40" spans="1:38">
      <c r="A40" s="13">
        <v>39</v>
      </c>
      <c r="B40" s="13"/>
      <c r="C40" s="61" t="s">
        <v>86</v>
      </c>
      <c r="D40" s="13" t="s">
        <v>73</v>
      </c>
      <c r="E40" s="32">
        <v>41047</v>
      </c>
      <c r="F40" s="13">
        <v>100</v>
      </c>
      <c r="G40" s="15">
        <v>0.28999999999999998</v>
      </c>
      <c r="H40" s="13" t="s">
        <v>6</v>
      </c>
      <c r="I40" s="14">
        <f>WORKDAY(NC[[#This Row],[DATA]],1,0)</f>
        <v>41050</v>
      </c>
      <c r="J40" s="22">
        <f>EOMONTH(NC[[#This Row],[DATA DE LIQUIDAÇÃO]],0)</f>
        <v>41060</v>
      </c>
      <c r="K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0" s="15">
        <f>[QTDE]*[PREÇO]</f>
        <v>28.999999999999996</v>
      </c>
      <c r="M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N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P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Q40" s="15">
        <f>SETUP!$E$3*SUMPRODUCT(N([DATA]=NC[[#This Row],[DATA]]),N([ID]&lt;=NC[[#This Row],[ID]]))</f>
        <v>14.9</v>
      </c>
      <c r="R40" s="15">
        <f>TRUNC([CORRETAGEM]*SETUP!$F$3,2)</f>
        <v>0.28999999999999998</v>
      </c>
      <c r="S40" s="15">
        <f>ROUND([CORRETAGEM]*SETUP!$G$3,2)</f>
        <v>0.57999999999999996</v>
      </c>
      <c r="T40" s="15">
        <f>[VALOR LÍQUIDO DAS OPERAÇÕES]-[TAXA DE LIQUIDAÇÃO]-[EMOLUMENTOS]-[TAXA DE REGISTRO]-[CORRETAGEM]-[ISS]-IF(['[D/N']]="D",    0,    [OUTRAS BOVESPA])</f>
        <v>-44.8</v>
      </c>
      <c r="U40" s="15">
        <f>IF(AND(['[D/N']]="D",    [T]="CV"),    ROUND([LÍQUIDO BASE]*0.01, 2),    0)</f>
        <v>0</v>
      </c>
      <c r="V40" s="15">
        <f>IF([PREÇO] &gt; 0,    [LÍQUIDO BASE]-SUMPRODUCT(N([DATA]=NC[[#This Row],[DATA]]),    [IRRF FONTE]),    0)</f>
        <v>-44.8</v>
      </c>
      <c r="W40" s="20">
        <f>[LÍQUIDO]-SUMPRODUCT(N([DATA]=NC[[#This Row],[DATA]]),N([ID]=(NC[[#This Row],[ID]]-1)),[LÍQUIDO])</f>
        <v>-44.8</v>
      </c>
      <c r="X40" s="15">
        <f>IF([T] = "VC", ABS([VALOR OP]) / [QTDE], [VALOR OP]/[QTDE])</f>
        <v>0.44799999999999995</v>
      </c>
      <c r="Y40" s="15">
        <f>TRUNC(IF(OR([T]="CV",[T]="VV"),     L40*SETUP!$H$3,     0),2)</f>
        <v>0</v>
      </c>
      <c r="Z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B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C40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D40" s="15">
        <f>IF([LUCRO TMP] &lt;&gt; 0, [LUCRO TMP] - SUMPRODUCT(N([ATIVO]=NC[[#This Row],[ATIVO]]),N(['[D/N']]="N"),N([ID]&lt;NC[[#This Row],[ID]]),N([PAR]=NC[[#This Row],[PAR]]), [LUCRO TMP]), 0)</f>
        <v>91.219999999999985</v>
      </c>
      <c r="AE40" s="15">
        <f>IF([U] = "U", SUMPRODUCT(N([ID]&lt;=NC[[#This Row],[ID]]),N([DATA BASE]=NC[[#This Row],[DATA BASE]]), N(['[D/N']] = "N"),    [LUCRO P/ OP]), 0)</f>
        <v>0</v>
      </c>
      <c r="AF40" s="15">
        <f>IF([U] = "U",[LUCRO '[N']] + SUMPRODUCT(N(MONTH([DATA BASE])&lt;MONTH(NC[[#This Row],[DATA BASE]]) ), [LUCRO '[N']]),0)</f>
        <v>0</v>
      </c>
      <c r="AG40" s="15">
        <f>IF([U] = "U", SUMPRODUCT(N([DATA BASE]=NC[[#This Row],[DATA BASE]]), N(['[D/N']] = "D"),    [LUCRO P/ OP]), 0)</f>
        <v>0</v>
      </c>
      <c r="AH40" s="20">
        <f>IF([ TRIB. '[N']] &gt; 0,     ROUND([ TRIB. '[N']]*0.15,    2),    0)</f>
        <v>0</v>
      </c>
      <c r="AI40" s="20">
        <f>IF([LUCRO TRIB. DT] &gt; 0,     ROUND([LUCRO TRIB. DT]*0.2,    2)  -  SUMPRODUCT(N([DATA BASE]=NC[[#This Row],[DATA BASE]]),    [IRRF FONTE]),    0)</f>
        <v>0</v>
      </c>
      <c r="AJ40" s="19">
        <f>[IR '[N']] + [IR DEVIDO DT]</f>
        <v>0</v>
      </c>
      <c r="AK40" s="20">
        <f>IF(AND([U] = "U",[IR DEVIDO] &gt; 0), [IR DEVIDO] + 8.9, 0)</f>
        <v>0</v>
      </c>
      <c r="AL40" s="20">
        <f>[LUCRO '[N']]  + [LUCRO TRIB. DT] - [RESGATE]</f>
        <v>0</v>
      </c>
    </row>
    <row r="41" spans="1:38">
      <c r="A41" s="13">
        <v>40</v>
      </c>
      <c r="B41" s="48"/>
      <c r="C41" s="61" t="s">
        <v>98</v>
      </c>
      <c r="D41" s="48" t="s">
        <v>73</v>
      </c>
      <c r="E41" s="49">
        <v>41047</v>
      </c>
      <c r="F41" s="48">
        <v>900</v>
      </c>
      <c r="G41" s="47">
        <v>0.04</v>
      </c>
      <c r="H41" s="48" t="s">
        <v>6</v>
      </c>
      <c r="I41" s="49">
        <f>WORKDAY(NC[[#This Row],[DATA]],1,0)</f>
        <v>41050</v>
      </c>
      <c r="J41" s="50">
        <f>EOMONTH(NC[[#This Row],[DATA DE LIQUIDAÇÃO]],0)</f>
        <v>41060</v>
      </c>
      <c r="K41" s="48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1" s="47">
        <f>[QTDE]*[PREÇO]</f>
        <v>36</v>
      </c>
      <c r="M41" s="4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N41" s="4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O41" s="4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41" s="4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Q41" s="47">
        <f>SETUP!$E$3*SUMPRODUCT(N([DATA]=NC[[#This Row],[DATA]]),N([ID]&lt;=NC[[#This Row],[ID]]))</f>
        <v>29.8</v>
      </c>
      <c r="R41" s="47">
        <f>TRUNC([CORRETAGEM]*SETUP!$F$3,2)</f>
        <v>0.59</v>
      </c>
      <c r="S41" s="47">
        <f>ROUND([CORRETAGEM]*SETUP!$G$3,2)</f>
        <v>1.1599999999999999</v>
      </c>
      <c r="T41" s="47">
        <f>[VALOR LÍQUIDO DAS OPERAÇÕES]-[TAXA DE LIQUIDAÇÃO]-[EMOLUMENTOS]-[TAXA DE REGISTRO]-[CORRETAGEM]-[ISS]-IF(['[D/N']]="D",    0,    [OUTRAS BOVESPA])</f>
        <v>-96.62</v>
      </c>
      <c r="U41" s="47">
        <f>IF(AND(['[D/N']]="D",    [T]="CV"),    ROUND([LÍQUIDO BASE]*0.01, 2),    0)</f>
        <v>0</v>
      </c>
      <c r="V41" s="15">
        <f>IF([PREÇO] &gt; 0,    [LÍQUIDO BASE]-SUMPRODUCT(N([DATA]=NC[[#This Row],[DATA]]),    [IRRF FONTE]),    0)</f>
        <v>-96.62</v>
      </c>
      <c r="W41" s="51">
        <f>[LÍQUIDO]-SUMPRODUCT(N([DATA]=NC[[#This Row],[DATA]]),N([ID]=(NC[[#This Row],[ID]]-1)),[LÍQUIDO])</f>
        <v>-51.820000000000007</v>
      </c>
      <c r="X41" s="47">
        <f>IF([T] = "VC", ABS([VALOR OP]) / [QTDE], [VALOR OP]/[QTDE])</f>
        <v>5.7577777777777783E-2</v>
      </c>
      <c r="Y41" s="47">
        <f>TRUNC(IF(OR([T]="CV",[T]="VV"),     L41*SETUP!$H$3,     0),2)</f>
        <v>0</v>
      </c>
      <c r="Z41" s="48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1" s="52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B41" s="52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C41" s="5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D41" s="47">
        <f>IF([LUCRO TMP] &lt;&gt; 0, [LUCRO TMP] - SUMPRODUCT(N([ATIVO]=NC[[#This Row],[ATIVO]]),N(['[D/N']]="N"),N([ID]&lt;NC[[#This Row],[ID]]),N([PAR]=NC[[#This Row],[PAR]]), [LUCRO TMP]), 0)</f>
        <v>849.17000000000019</v>
      </c>
      <c r="AE41" s="47">
        <f>IF([U] = "U", SUMPRODUCT(N([ID]&lt;=NC[[#This Row],[ID]]),N([DATA BASE]=NC[[#This Row],[DATA BASE]]), N(['[D/N']] = "N"),    [LUCRO P/ OP]), 0)</f>
        <v>0</v>
      </c>
      <c r="AF41" s="15">
        <f>IF([U] = "U",[LUCRO '[N']] + SUMPRODUCT(N(MONTH([DATA BASE])&lt;MONTH(NC[[#This Row],[DATA BASE]]) ), [LUCRO '[N']]),0)</f>
        <v>0</v>
      </c>
      <c r="AG41" s="47">
        <f>IF([U] = "U", SUMPRODUCT(N([DATA BASE]=NC[[#This Row],[DATA BASE]]), N(['[D/N']] = "D"),    [LUCRO P/ OP]), 0)</f>
        <v>0</v>
      </c>
      <c r="AH41" s="51">
        <f>IF([ TRIB. '[N']] &gt; 0,     ROUND([ TRIB. '[N']]*0.15,    2),    0)</f>
        <v>0</v>
      </c>
      <c r="AI41" s="51">
        <f>IF([LUCRO TRIB. DT] &gt; 0,     ROUND([LUCRO TRIB. DT]*0.2,    2)  -  SUMPRODUCT(N([DATA BASE]=NC[[#This Row],[DATA BASE]]),    [IRRF FONTE]),    0)</f>
        <v>0</v>
      </c>
      <c r="AJ41" s="54">
        <f>[IR '[N']] + [IR DEVIDO DT]</f>
        <v>0</v>
      </c>
      <c r="AK41" s="51">
        <f>IF(AND([U] = "U",[IR DEVIDO] &gt; 0), [IR DEVIDO] + 8.9, 0)</f>
        <v>0</v>
      </c>
      <c r="AL41" s="51">
        <f>[LUCRO '[N']]  + [LUCRO TRIB. DT] - [RESGATE]</f>
        <v>0</v>
      </c>
    </row>
    <row r="42" spans="1:38">
      <c r="A42" s="13">
        <v>41</v>
      </c>
      <c r="B42" s="31"/>
      <c r="C42" s="61" t="s">
        <v>70</v>
      </c>
      <c r="D42" s="31" t="s">
        <v>25</v>
      </c>
      <c r="E42" s="32">
        <v>41050</v>
      </c>
      <c r="F42" s="31">
        <v>100</v>
      </c>
      <c r="G42" s="30">
        <v>0</v>
      </c>
      <c r="H42" s="31" t="s">
        <v>6</v>
      </c>
      <c r="I42" s="32">
        <f>WORKDAY(NC[[#This Row],[DATA]],1,0)</f>
        <v>41051</v>
      </c>
      <c r="J42" s="33">
        <f>EOMONTH(NC[[#This Row],[DATA DE LIQUIDAÇÃO]],0)</f>
        <v>41060</v>
      </c>
      <c r="K42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2" s="30">
        <f>[QTDE]*[PREÇO]</f>
        <v>0</v>
      </c>
      <c r="M42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2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2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2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2" s="30">
        <f>SETUP!$E$3*SUMPRODUCT(N([DATA]=NC[[#This Row],[DATA]]),N([ID]&lt;=NC[[#This Row],[ID]]))</f>
        <v>14.9</v>
      </c>
      <c r="R42" s="30">
        <f>TRUNC([CORRETAGEM]*SETUP!$F$3,2)</f>
        <v>0.28999999999999998</v>
      </c>
      <c r="S42" s="30">
        <f>ROUND([CORRETAGEM]*SETUP!$G$3,2)</f>
        <v>0.57999999999999996</v>
      </c>
      <c r="T42" s="30">
        <f>[VALOR LÍQUIDO DAS OPERAÇÕES]-[TAXA DE LIQUIDAÇÃO]-[EMOLUMENTOS]-[TAXA DE REGISTRO]-[CORRETAGEM]-[ISS]-IF(['[D/N']]="D",    0,    [OUTRAS BOVESPA])</f>
        <v>-15.77</v>
      </c>
      <c r="U42" s="30">
        <f>IF(AND(['[D/N']]="D",    [T]="CV"),    ROUND([LÍQUIDO BASE]*0.01, 2),    0)</f>
        <v>0</v>
      </c>
      <c r="V42" s="15">
        <f>IF([PREÇO] &gt; 0,    [LÍQUIDO BASE]-SUMPRODUCT(N([DATA]=NC[[#This Row],[DATA]]),    [IRRF FONTE]),    0)</f>
        <v>0</v>
      </c>
      <c r="W42" s="34">
        <f>[LÍQUIDO]-SUMPRODUCT(N([DATA]=NC[[#This Row],[DATA]]),N([ID]=(NC[[#This Row],[ID]]-1)),[LÍQUIDO])</f>
        <v>0</v>
      </c>
      <c r="X42" s="30">
        <f>IF([T] = "VC", ABS([VALOR OP]) / [QTDE], [VALOR OP]/[QTDE])</f>
        <v>0</v>
      </c>
      <c r="Y42" s="30">
        <f>TRUNC(IF(OR([T]="CV",[T]="VV"),     L42*SETUP!$H$3,     0),2)</f>
        <v>0</v>
      </c>
      <c r="Z42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2" s="35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B42" s="3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2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D42" s="30">
        <f>IF([LUCRO TMP] &lt;&gt; 0, [LUCRO TMP] - SUMPRODUCT(N([ATIVO]=NC[[#This Row],[ATIVO]]),N(['[D/N']]="N"),N([ID]&lt;NC[[#This Row],[ID]]),N([PAR]=NC[[#This Row],[PAR]]), [LUCRO TMP]), 0)</f>
        <v>-90.86</v>
      </c>
      <c r="AE42" s="30">
        <f>IF([U] = "U", SUMPRODUCT(N([ID]&lt;=NC[[#This Row],[ID]]),N([DATA BASE]=NC[[#This Row],[DATA BASE]]), N(['[D/N']] = "N"),    [LUCRO P/ OP]), 0)</f>
        <v>0</v>
      </c>
      <c r="AF42" s="15">
        <f>IF([U] = "U",[LUCRO '[N']] + SUMPRODUCT(N(MONTH([DATA BASE])&lt;MONTH(NC[[#This Row],[DATA BASE]]) ), [LUCRO '[N']]),0)</f>
        <v>0</v>
      </c>
      <c r="AG42" s="30">
        <f>IF([U] = "U", SUMPRODUCT(N([DATA BASE]=NC[[#This Row],[DATA BASE]]), N(['[D/N']] = "D"),    [LUCRO P/ OP]), 0)</f>
        <v>0</v>
      </c>
      <c r="AH42" s="34">
        <f>IF([ TRIB. '[N']] &gt; 0,     ROUND([ TRIB. '[N']]*0.15,    2),    0)</f>
        <v>0</v>
      </c>
      <c r="AI42" s="34">
        <f>IF([LUCRO TRIB. DT] &gt; 0,     ROUND([LUCRO TRIB. DT]*0.2,    2)  -  SUMPRODUCT(N([DATA BASE]=NC[[#This Row],[DATA BASE]]),    [IRRF FONTE]),    0)</f>
        <v>0</v>
      </c>
      <c r="AJ42" s="36">
        <f>[IR '[N']] + [IR DEVIDO DT]</f>
        <v>0</v>
      </c>
      <c r="AK42" s="34">
        <f>IF(AND([U] = "U",[IR DEVIDO] &gt; 0), [IR DEVIDO] + 8.9, 0)</f>
        <v>0</v>
      </c>
      <c r="AL42" s="34">
        <f>[LUCRO '[N']]  + [LUCRO TRIB. DT] - [RESGATE]</f>
        <v>0</v>
      </c>
    </row>
    <row r="43" spans="1:38">
      <c r="A43" s="13">
        <v>42</v>
      </c>
      <c r="B43" s="13"/>
      <c r="C43" s="13" t="s">
        <v>82</v>
      </c>
      <c r="D43" s="13" t="s">
        <v>25</v>
      </c>
      <c r="E43" s="14">
        <v>41050</v>
      </c>
      <c r="F43" s="13">
        <v>400</v>
      </c>
      <c r="G43" s="15">
        <v>0</v>
      </c>
      <c r="H43" s="13" t="s">
        <v>6</v>
      </c>
      <c r="I43" s="14">
        <f>WORKDAY(NC[[#This Row],[DATA]],1,0)</f>
        <v>41051</v>
      </c>
      <c r="J43" s="22">
        <f>EOMONTH(NC[[#This Row],[DATA DE LIQUIDAÇÃO]],0)</f>
        <v>41060</v>
      </c>
      <c r="K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3" s="15">
        <f>[QTDE]*[PREÇO]</f>
        <v>0</v>
      </c>
      <c r="M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3" s="15">
        <f>SETUP!$E$3*SUMPRODUCT(N([DATA]=NC[[#This Row],[DATA]]),N([ID]&lt;=NC[[#This Row],[ID]]))</f>
        <v>29.8</v>
      </c>
      <c r="R43" s="15">
        <f>TRUNC([CORRETAGEM]*SETUP!$F$3,2)</f>
        <v>0.59</v>
      </c>
      <c r="S43" s="15">
        <f>ROUND([CORRETAGEM]*SETUP!$G$3,2)</f>
        <v>1.1599999999999999</v>
      </c>
      <c r="T43" s="15">
        <f>[VALOR LÍQUIDO DAS OPERAÇÕES]-[TAXA DE LIQUIDAÇÃO]-[EMOLUMENTOS]-[TAXA DE REGISTRO]-[CORRETAGEM]-[ISS]-IF(['[D/N']]="D",    0,    [OUTRAS BOVESPA])</f>
        <v>-31.55</v>
      </c>
      <c r="U43" s="15">
        <f>IF(AND(['[D/N']]="D",    [T]="CV"),    ROUND([LÍQUIDO BASE]*0.01, 2),    0)</f>
        <v>0</v>
      </c>
      <c r="V43" s="15">
        <f>IF([PREÇO] &gt; 0,    [LÍQUIDO BASE]-SUMPRODUCT(N([DATA]=NC[[#This Row],[DATA]]),    [IRRF FONTE]),    0)</f>
        <v>0</v>
      </c>
      <c r="W43" s="20">
        <f>[LÍQUIDO]-SUMPRODUCT(N([DATA]=NC[[#This Row],[DATA]]),N([ID]=(NC[[#This Row],[ID]]-1)),[LÍQUIDO])</f>
        <v>0</v>
      </c>
      <c r="X43" s="15">
        <f>IF([T] = "VC", ABS([VALOR OP]) / [QTDE], [VALOR OP]/[QTDE])</f>
        <v>0</v>
      </c>
      <c r="Y43" s="15">
        <f>TRUNC(IF(OR([T]="CV",[T]="VV"),     L43*SETUP!$H$3,     0),2)</f>
        <v>0</v>
      </c>
      <c r="Z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B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3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D43" s="15">
        <f>IF([LUCRO TMP] &lt;&gt; 0, [LUCRO TMP] - SUMPRODUCT(N([ATIVO]=NC[[#This Row],[ATIVO]]),N(['[D/N']]="N"),N([ID]&lt;NC[[#This Row],[ID]]),N([PAR]=NC[[#This Row],[PAR]]), [LUCRO TMP]), 0)</f>
        <v>-123.89000000000001</v>
      </c>
      <c r="AE43" s="15">
        <f>IF([U] = "U", SUMPRODUCT(N([ID]&lt;=NC[[#This Row],[ID]]),N([DATA BASE]=NC[[#This Row],[DATA BASE]]), N(['[D/N']] = "N"),    [LUCRO P/ OP]), 0)</f>
        <v>0</v>
      </c>
      <c r="AF43" s="15">
        <f>IF([U] = "U",[LUCRO '[N']] + SUMPRODUCT(N(MONTH([DATA BASE])&lt;MONTH(NC[[#This Row],[DATA BASE]]) ), [LUCRO '[N']]),0)</f>
        <v>0</v>
      </c>
      <c r="AG43" s="15">
        <f>IF([U] = "U", SUMPRODUCT(N([DATA BASE]=NC[[#This Row],[DATA BASE]]), N(['[D/N']] = "D"),    [LUCRO P/ OP]), 0)</f>
        <v>0</v>
      </c>
      <c r="AH43" s="20">
        <f>IF([ TRIB. '[N']] &gt; 0,     ROUND([ TRIB. '[N']]*0.15,    2),    0)</f>
        <v>0</v>
      </c>
      <c r="AI43" s="20">
        <f>IF([LUCRO TRIB. DT] &gt; 0,     ROUND([LUCRO TRIB. DT]*0.2,    2)  -  SUMPRODUCT(N([DATA BASE]=NC[[#This Row],[DATA BASE]]),    [IRRF FONTE]),    0)</f>
        <v>0</v>
      </c>
      <c r="AJ43" s="19">
        <f>[IR '[N']] + [IR DEVIDO DT]</f>
        <v>0</v>
      </c>
      <c r="AK43" s="20">
        <f>IF(AND([U] = "U",[IR DEVIDO] &gt; 0), [IR DEVIDO] + 8.9, 0)</f>
        <v>0</v>
      </c>
      <c r="AL43" s="20">
        <f>[LUCRO '[N']]  + [LUCRO TRIB. DT] - [RESGATE]</f>
        <v>0</v>
      </c>
    </row>
    <row r="44" spans="1:38">
      <c r="A44" s="13">
        <v>43</v>
      </c>
      <c r="B44" s="13"/>
      <c r="C44" s="61" t="s">
        <v>85</v>
      </c>
      <c r="D44" s="13" t="s">
        <v>25</v>
      </c>
      <c r="E44" s="14">
        <v>41050</v>
      </c>
      <c r="F44" s="13">
        <v>100</v>
      </c>
      <c r="G44" s="30">
        <v>0</v>
      </c>
      <c r="H44" s="13" t="s">
        <v>6</v>
      </c>
      <c r="I44" s="14">
        <f>WORKDAY(NC[[#This Row],[DATA]],1,0)</f>
        <v>41051</v>
      </c>
      <c r="J44" s="22">
        <f>EOMONTH(NC[[#This Row],[DATA DE LIQUIDAÇÃO]],0)</f>
        <v>41060</v>
      </c>
      <c r="K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4" s="15">
        <f>[QTDE]*[PREÇO]</f>
        <v>0</v>
      </c>
      <c r="M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4" s="15">
        <f>SETUP!$E$3*SUMPRODUCT(N([DATA]=NC[[#This Row],[DATA]]),N([ID]&lt;=NC[[#This Row],[ID]]))</f>
        <v>44.7</v>
      </c>
      <c r="R44" s="15">
        <f>TRUNC([CORRETAGEM]*SETUP!$F$3,2)</f>
        <v>0.89</v>
      </c>
      <c r="S44" s="15">
        <f>ROUND([CORRETAGEM]*SETUP!$G$3,2)</f>
        <v>1.74</v>
      </c>
      <c r="T44" s="15">
        <f>[VALOR LÍQUIDO DAS OPERAÇÕES]-[TAXA DE LIQUIDAÇÃO]-[EMOLUMENTOS]-[TAXA DE REGISTRO]-[CORRETAGEM]-[ISS]-IF(['[D/N']]="D",    0,    [OUTRAS BOVESPA])</f>
        <v>-47.330000000000005</v>
      </c>
      <c r="U44" s="15">
        <f>IF(AND(['[D/N']]="D",    [T]="CV"),    ROUND([LÍQUIDO BASE]*0.01, 2),    0)</f>
        <v>0</v>
      </c>
      <c r="V44" s="15">
        <f>IF([PREÇO] &gt; 0,    [LÍQUIDO BASE]-SUMPRODUCT(N([DATA]=NC[[#This Row],[DATA]]),    [IRRF FONTE]),    0)</f>
        <v>0</v>
      </c>
      <c r="W44" s="20">
        <f>[LÍQUIDO]-SUMPRODUCT(N([DATA]=NC[[#This Row],[DATA]]),N([ID]=(NC[[#This Row],[ID]]-1)),[LÍQUIDO])</f>
        <v>0</v>
      </c>
      <c r="X44" s="15">
        <f>IF([T] = "VC", ABS([VALOR OP]) / [QTDE], [VALOR OP]/[QTDE])</f>
        <v>0</v>
      </c>
      <c r="Y44" s="15">
        <f>TRUNC(IF(OR([T]="CV",[T]="VV"),     L44*SETUP!$H$3,     0),2)</f>
        <v>0</v>
      </c>
      <c r="Z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B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4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D44" s="15">
        <f>IF([LUCRO TMP] &lt;&gt; 0, [LUCRO TMP] - SUMPRODUCT(N([ATIVO]=NC[[#This Row],[ATIVO]]),N(['[D/N']]="N"),N([ID]&lt;NC[[#This Row],[ID]]),N([PAR]=NC[[#This Row],[PAR]]), [LUCRO TMP]), 0)</f>
        <v>-45.8</v>
      </c>
      <c r="AE44" s="15">
        <f>IF([U] = "U", SUMPRODUCT(N([ID]&lt;=NC[[#This Row],[ID]]),N([DATA BASE]=NC[[#This Row],[DATA BASE]]), N(['[D/N']] = "N"),    [LUCRO P/ OP]), 0)</f>
        <v>0</v>
      </c>
      <c r="AF44" s="15">
        <f>IF([U] = "U",[LUCRO '[N']] + SUMPRODUCT(N(MONTH([DATA BASE])&lt;MONTH(NC[[#This Row],[DATA BASE]]) ), [LUCRO '[N']]),0)</f>
        <v>0</v>
      </c>
      <c r="AG44" s="15">
        <f>IF([U] = "U", SUMPRODUCT(N([DATA BASE]=NC[[#This Row],[DATA BASE]]), N(['[D/N']] = "D"),    [LUCRO P/ OP]), 0)</f>
        <v>0</v>
      </c>
      <c r="AH44" s="20">
        <f>IF([ TRIB. '[N']] &gt; 0,     ROUND([ TRIB. '[N']]*0.15,    2),    0)</f>
        <v>0</v>
      </c>
      <c r="AI44" s="20">
        <f>IF([LUCRO TRIB. DT] &gt; 0,     ROUND([LUCRO TRIB. DT]*0.2,    2)  -  SUMPRODUCT(N([DATA BASE]=NC[[#This Row],[DATA BASE]]),    [IRRF FONTE]),    0)</f>
        <v>0</v>
      </c>
      <c r="AJ44" s="19">
        <f>[IR '[N']] + [IR DEVIDO DT]</f>
        <v>0</v>
      </c>
      <c r="AK44" s="20">
        <f>IF(AND([U] = "U",[IR DEVIDO] &gt; 0), [IR DEVIDO] + 8.9, 0)</f>
        <v>0</v>
      </c>
      <c r="AL44" s="20">
        <f>[LUCRO '[N']]  + [LUCRO TRIB. DT] - [RESGATE]</f>
        <v>0</v>
      </c>
    </row>
    <row r="45" spans="1:38">
      <c r="A45" s="13">
        <v>44</v>
      </c>
      <c r="B45" s="48"/>
      <c r="C45" s="61" t="s">
        <v>93</v>
      </c>
      <c r="D45" s="48" t="s">
        <v>25</v>
      </c>
      <c r="E45" s="14">
        <v>41050</v>
      </c>
      <c r="F45" s="48">
        <v>900</v>
      </c>
      <c r="G45" s="47">
        <v>0</v>
      </c>
      <c r="H45" s="48" t="s">
        <v>6</v>
      </c>
      <c r="I45" s="49">
        <f>WORKDAY(NC[[#This Row],[DATA]],1,0)</f>
        <v>41051</v>
      </c>
      <c r="J45" s="50">
        <f>EOMONTH(NC[[#This Row],[DATA DE LIQUIDAÇÃO]],0)</f>
        <v>41060</v>
      </c>
      <c r="K45" s="48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5" s="47">
        <f>[QTDE]*[PREÇO]</f>
        <v>0</v>
      </c>
      <c r="M45" s="4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5" s="4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5" s="4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5" s="4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5" s="47">
        <f>SETUP!$E$3*SUMPRODUCT(N([DATA]=NC[[#This Row],[DATA]]),N([ID]&lt;=NC[[#This Row],[ID]]))</f>
        <v>59.6</v>
      </c>
      <c r="R45" s="47">
        <f>TRUNC([CORRETAGEM]*SETUP!$F$3,2)</f>
        <v>1.19</v>
      </c>
      <c r="S45" s="47">
        <f>ROUND([CORRETAGEM]*SETUP!$G$3,2)</f>
        <v>2.3199999999999998</v>
      </c>
      <c r="T45" s="47">
        <f>[VALOR LÍQUIDO DAS OPERAÇÕES]-[TAXA DE LIQUIDAÇÃO]-[EMOLUMENTOS]-[TAXA DE REGISTRO]-[CORRETAGEM]-[ISS]-IF(['[D/N']]="D",    0,    [OUTRAS BOVESPA])</f>
        <v>-63.11</v>
      </c>
      <c r="U45" s="47">
        <f>IF(AND(['[D/N']]="D",    [T]="CV"),    ROUND([LÍQUIDO BASE]*0.01, 2),    0)</f>
        <v>0</v>
      </c>
      <c r="V45" s="15">
        <f>IF([PREÇO] &gt; 0,    [LÍQUIDO BASE]-SUMPRODUCT(N([DATA]=NC[[#This Row],[DATA]]),    [IRRF FONTE]),    0)</f>
        <v>0</v>
      </c>
      <c r="W45" s="51">
        <f>[LÍQUIDO]-SUMPRODUCT(N([DATA]=NC[[#This Row],[DATA]]),N([ID]=(NC[[#This Row],[ID]]-1)),[LÍQUIDO])</f>
        <v>0</v>
      </c>
      <c r="X45" s="47">
        <f>IF([T] = "VC", ABS([VALOR OP]) / [QTDE], [VALOR OP]/[QTDE])</f>
        <v>0</v>
      </c>
      <c r="Y45" s="47">
        <f>TRUNC(IF(OR([T]="CV",[T]="VV"),     L45*SETUP!$H$3,     0),2)</f>
        <v>0</v>
      </c>
      <c r="Z45" s="48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5" s="52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B45" s="52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5" s="5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D45" s="47">
        <f>IF([LUCRO TMP] &lt;&gt; 0, [LUCRO TMP] - SUMPRODUCT(N([ATIVO]=NC[[#This Row],[ATIVO]]),N(['[D/N']]="N"),N([ID]&lt;NC[[#This Row],[ID]]),N([PAR]=NC[[#This Row],[PAR]]), [LUCRO TMP]), 0)</f>
        <v>-466.37</v>
      </c>
      <c r="AE45" s="47">
        <f>IF([U] = "U", SUMPRODUCT(N([ID]&lt;=NC[[#This Row],[ID]]),N([DATA BASE]=NC[[#This Row],[DATA BASE]]), N(['[D/N']] = "N"),    [LUCRO P/ OP]), 0)</f>
        <v>0</v>
      </c>
      <c r="AF45" s="15">
        <f>IF([U] = "U",[LUCRO '[N']] + SUMPRODUCT(N(MONTH([DATA BASE])&lt;MONTH(NC[[#This Row],[DATA BASE]]) ), [LUCRO '[N']]),0)</f>
        <v>0</v>
      </c>
      <c r="AG45" s="47">
        <f>IF([U] = "U", SUMPRODUCT(N([DATA BASE]=NC[[#This Row],[DATA BASE]]), N(['[D/N']] = "D"),    [LUCRO P/ OP]), 0)</f>
        <v>0</v>
      </c>
      <c r="AH45" s="51">
        <f>IF([ TRIB. '[N']] &gt; 0,     ROUND([ TRIB. '[N']]*0.15,    2),    0)</f>
        <v>0</v>
      </c>
      <c r="AI45" s="51">
        <f>IF([LUCRO TRIB. DT] &gt; 0,     ROUND([LUCRO TRIB. DT]*0.2,    2)  -  SUMPRODUCT(N([DATA BASE]=NC[[#This Row],[DATA BASE]]),    [IRRF FONTE]),    0)</f>
        <v>0</v>
      </c>
      <c r="AJ45" s="54">
        <f>[IR '[N']] + [IR DEVIDO DT]</f>
        <v>0</v>
      </c>
      <c r="AK45" s="51">
        <f>IF(AND([U] = "U",[IR DEVIDO] &gt; 0), [IR DEVIDO] + 8.9, 0)</f>
        <v>0</v>
      </c>
      <c r="AL45" s="51">
        <f>[LUCRO '[N']]  + [LUCRO TRIB. DT] - [RESGATE]</f>
        <v>0</v>
      </c>
    </row>
    <row r="46" spans="1:38">
      <c r="A46" s="13">
        <v>45</v>
      </c>
      <c r="B46" s="13"/>
      <c r="C46" s="61" t="s">
        <v>125</v>
      </c>
      <c r="D46" s="48" t="s">
        <v>72</v>
      </c>
      <c r="E46" s="49">
        <v>41051</v>
      </c>
      <c r="F46" s="48">
        <v>1000</v>
      </c>
      <c r="G46" s="47">
        <v>0.94</v>
      </c>
      <c r="H46" s="13" t="s">
        <v>6</v>
      </c>
      <c r="I46" s="49">
        <f>WORKDAY(NC[[#This Row],[DATA]],1,0)</f>
        <v>41052</v>
      </c>
      <c r="J46" s="50">
        <f>EOMONTH(NC[[#This Row],[DATA DE LIQUIDAÇÃO]],0)</f>
        <v>41060</v>
      </c>
      <c r="K46" s="48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6" s="47">
        <f>[QTDE]*[PREÇO]</f>
        <v>940</v>
      </c>
      <c r="M46" s="4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N46" s="4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46" s="4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P46" s="4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Q46" s="47">
        <f>SETUP!$E$3*SUMPRODUCT(N([DATA]=NC[[#This Row],[DATA]]),N([ID]&lt;=NC[[#This Row],[ID]]))</f>
        <v>14.9</v>
      </c>
      <c r="R46" s="47">
        <f>TRUNC([CORRETAGEM]*SETUP!$F$3,2)</f>
        <v>0.28999999999999998</v>
      </c>
      <c r="S46" s="47">
        <f>ROUND([CORRETAGEM]*SETUP!$G$3,2)</f>
        <v>0.57999999999999996</v>
      </c>
      <c r="T46" s="47">
        <f>[VALOR LÍQUIDO DAS OPERAÇÕES]-[TAXA DE LIQUIDAÇÃO]-[EMOLUMENTOS]-[TAXA DE REGISTRO]-[CORRETAGEM]-[ISS]-IF(['[D/N']]="D",    0,    [OUTRAS BOVESPA])</f>
        <v>922.99</v>
      </c>
      <c r="U46" s="47">
        <f>IF(AND(['[D/N']]="D",    [T]="CV"),    ROUND([LÍQUIDO BASE]*0.01, 2),    0)</f>
        <v>0</v>
      </c>
      <c r="V46" s="15">
        <f>IF([PREÇO] &gt; 0,    [LÍQUIDO BASE]-SUMPRODUCT(N([DATA]=NC[[#This Row],[DATA]]),    [IRRF FONTE]),    0)</f>
        <v>922.99</v>
      </c>
      <c r="W46" s="51">
        <f>[LÍQUIDO]-SUMPRODUCT(N([DATA]=NC[[#This Row],[DATA]]),N([ID]=(NC[[#This Row],[ID]]-1)),[LÍQUIDO])</f>
        <v>922.99</v>
      </c>
      <c r="X46" s="47">
        <f>IF([T] = "VC", ABS([VALOR OP]) / [QTDE], [VALOR OP]/[QTDE])</f>
        <v>0.92298999999999998</v>
      </c>
      <c r="Y46" s="47">
        <f>TRUNC(IF(OR([T]="CV",[T]="VV"),     L46*SETUP!$H$3,     0),2)</f>
        <v>0.04</v>
      </c>
      <c r="Z46" s="48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A46" s="52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46" s="52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C46" s="5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46" s="47">
        <f>IF([LUCRO TMP] &lt;&gt; 0, [LUCRO TMP] - SUMPRODUCT(N([ATIVO]=NC[[#This Row],[ATIVO]]),N(['[D/N']]="N"),N([ID]&lt;NC[[#This Row],[ID]]),N([PAR]=NC[[#This Row],[PAR]]), [LUCRO TMP]), 0)</f>
        <v>0</v>
      </c>
      <c r="AE46" s="47">
        <f>IF([U] = "U", SUMPRODUCT(N([ID]&lt;=NC[[#This Row],[ID]]),N([DATA BASE]=NC[[#This Row],[DATA BASE]]), N(['[D/N']] = "N"),    [LUCRO P/ OP]), 0)</f>
        <v>0</v>
      </c>
      <c r="AF46" s="15">
        <f>IF([U] = "U",[LUCRO '[N']] + SUMPRODUCT(N(MONTH([DATA BASE])&lt;MONTH(NC[[#This Row],[DATA BASE]]) ), [LUCRO '[N']]),0)</f>
        <v>0</v>
      </c>
      <c r="AG46" s="47">
        <f>IF([U] = "U", SUMPRODUCT(N([DATA BASE]=NC[[#This Row],[DATA BASE]]), N(['[D/N']] = "D"),    [LUCRO P/ OP]), 0)</f>
        <v>0</v>
      </c>
      <c r="AH46" s="51">
        <f>IF([ TRIB. '[N']] &gt; 0,     ROUND([ TRIB. '[N']]*0.15,    2),    0)</f>
        <v>0</v>
      </c>
      <c r="AI46" s="51">
        <f>IF([LUCRO TRIB. DT] &gt; 0,     ROUND([LUCRO TRIB. DT]*0.2,    2)  -  SUMPRODUCT(N([DATA BASE]=NC[[#This Row],[DATA BASE]]),    [IRRF FONTE]),    0)</f>
        <v>0</v>
      </c>
      <c r="AJ46" s="54">
        <f>[IR '[N']] + [IR DEVIDO DT]</f>
        <v>0</v>
      </c>
      <c r="AK46" s="51">
        <f>IF(AND([U] = "U",[IR DEVIDO] &gt; 0), [IR DEVIDO] + 8.9, 0)</f>
        <v>0</v>
      </c>
      <c r="AL46" s="51">
        <f>[LUCRO '[N']]  + [LUCRO TRIB. DT] - [RESGATE]</f>
        <v>0</v>
      </c>
    </row>
    <row r="47" spans="1:38">
      <c r="A47" s="13">
        <v>46</v>
      </c>
      <c r="B47" s="13" t="s">
        <v>53</v>
      </c>
      <c r="C47" s="61" t="s">
        <v>126</v>
      </c>
      <c r="D47" s="13" t="s">
        <v>24</v>
      </c>
      <c r="E47" s="14">
        <v>41051</v>
      </c>
      <c r="F47" s="13">
        <v>1000</v>
      </c>
      <c r="G47" s="15">
        <v>0.45</v>
      </c>
      <c r="H47" s="13" t="s">
        <v>6</v>
      </c>
      <c r="I47" s="14">
        <f>WORKDAY(NC[[#This Row],[DATA]],1,0)</f>
        <v>41052</v>
      </c>
      <c r="J47" s="62">
        <f>EOMONTH(NC[[#This Row],[DATA DE LIQUIDAÇÃO]],0)</f>
        <v>41060</v>
      </c>
      <c r="K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7" s="15">
        <f>[QTDE]*[PREÇO]</f>
        <v>450</v>
      </c>
      <c r="M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N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O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P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Q47" s="15">
        <f>SETUP!$E$3*SUMPRODUCT(N([DATA]=NC[[#This Row],[DATA]]),N([ID]&lt;=NC[[#This Row],[ID]]))</f>
        <v>29.8</v>
      </c>
      <c r="R47" s="15">
        <f>TRUNC([CORRETAGEM]*SETUP!$F$3,2)</f>
        <v>0.59</v>
      </c>
      <c r="S47" s="15">
        <f>ROUND([CORRETAGEM]*SETUP!$G$3,2)</f>
        <v>1.1599999999999999</v>
      </c>
      <c r="T47" s="15">
        <f>[VALOR LÍQUIDO DAS OPERAÇÕES]-[TAXA DE LIQUIDAÇÃO]-[EMOLUMENTOS]-[TAXA DE REGISTRO]-[CORRETAGEM]-[ISS]-IF(['[D/N']]="D",    0,    [OUTRAS BOVESPA])</f>
        <v>456.6</v>
      </c>
      <c r="U47" s="15">
        <f>IF(AND(['[D/N']]="D",    [T]="CV"),    ROUND([LÍQUIDO BASE]*0.01, 2),    0)</f>
        <v>0</v>
      </c>
      <c r="V47" s="15">
        <f>IF([PREÇO] &gt; 0,    [LÍQUIDO BASE]-SUMPRODUCT(N([DATA]=NC[[#This Row],[DATA]]),    [IRRF FONTE]),    0)</f>
        <v>456.6</v>
      </c>
      <c r="W47" s="20">
        <f>[LÍQUIDO]-SUMPRODUCT(N([DATA]=NC[[#This Row],[DATA]]),N([ID]=(NC[[#This Row],[ID]]-1)),[LÍQUIDO])</f>
        <v>-466.39</v>
      </c>
      <c r="X47" s="15">
        <f>IF([T] = "VC", ABS([VALOR OP]) / [QTDE], [VALOR OP]/[QTDE])</f>
        <v>-0.46638999999999997</v>
      </c>
      <c r="Y47" s="15">
        <f>TRUNC(IF(OR([T]="CV",[T]="VV"),     L47*SETUP!$H$3,     0),2)</f>
        <v>0</v>
      </c>
      <c r="Z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A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B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7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47" s="15">
        <f>IF([LUCRO TMP] &lt;&gt; 0, [LUCRO TMP] - SUMPRODUCT(N([ATIVO]=NC[[#This Row],[ATIVO]]),N(['[D/N']]="N"),N([ID]&lt;NC[[#This Row],[ID]]),N([PAR]=NC[[#This Row],[PAR]]), [LUCRO TMP]), 0)</f>
        <v>0</v>
      </c>
      <c r="AE47" s="15">
        <f>IF([U] = "U", SUMPRODUCT(N([ID]&lt;=NC[[#This Row],[ID]]),N([DATA BASE]=NC[[#This Row],[DATA BASE]]), N(['[D/N']] = "N"),    [LUCRO P/ OP]), 0)</f>
        <v>431.77000000000021</v>
      </c>
      <c r="AF47" s="15">
        <f>IF([U] = "U",[LUCRO '[N']] + SUMPRODUCT(N(MONTH([DATA BASE])&lt;MONTH(NC[[#This Row],[DATA BASE]]) ), [LUCRO '[N']]),0)</f>
        <v>-1183.1199999999997</v>
      </c>
      <c r="AG47" s="15">
        <f>IF([U] = "U", SUMPRODUCT(N([DATA BASE]=NC[[#This Row],[DATA BASE]]), N(['[D/N']] = "D"),    [LUCRO P/ OP]), 0)</f>
        <v>0</v>
      </c>
      <c r="AH47" s="20">
        <f>IF([ TRIB. '[N']] &gt; 0,     ROUND([ TRIB. '[N']]*0.15,    2),    0)</f>
        <v>0</v>
      </c>
      <c r="AI47" s="20">
        <f>IF([LUCRO TRIB. DT] &gt; 0,     ROUND([LUCRO TRIB. DT]*0.2,    2)  -  SUMPRODUCT(N([DATA BASE]=NC[[#This Row],[DATA BASE]]),    [IRRF FONTE]),    0)</f>
        <v>0</v>
      </c>
      <c r="AJ47" s="19">
        <f>[IR '[N']] + [IR DEVIDO DT]</f>
        <v>0</v>
      </c>
      <c r="AK47" s="20">
        <f>IF(AND([U] = "U",[IR DEVIDO] &gt; 0), [IR DEVIDO] + 8.9, 0)</f>
        <v>0</v>
      </c>
      <c r="AL47" s="20">
        <f>[LUCRO '[N']]  + [LUCRO TRIB. DT] - [RESGATE]</f>
        <v>431.77000000000021</v>
      </c>
    </row>
    <row r="48" spans="1:38">
      <c r="A48" s="13">
        <v>47</v>
      </c>
      <c r="B48" s="13"/>
      <c r="C48" s="61" t="s">
        <v>126</v>
      </c>
      <c r="D48" s="13" t="s">
        <v>25</v>
      </c>
      <c r="E48" s="14">
        <v>41077</v>
      </c>
      <c r="F48" s="13">
        <v>1000</v>
      </c>
      <c r="G48" s="15">
        <v>0.16</v>
      </c>
      <c r="H48" s="13" t="s">
        <v>6</v>
      </c>
      <c r="I48" s="14">
        <f>WORKDAY(NC[[#This Row],[DATA]],1,0)</f>
        <v>41078</v>
      </c>
      <c r="J48" s="62">
        <f>EOMONTH(NC[[#This Row],[DATA DE LIQUIDAÇÃO]],0)</f>
        <v>41090</v>
      </c>
      <c r="K4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8" s="15">
        <f>[QTDE]*[PREÇO]</f>
        <v>160</v>
      </c>
      <c r="M4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160</v>
      </c>
      <c r="N4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4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P4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Q48" s="15">
        <f>SETUP!$E$3*SUMPRODUCT(N([DATA]=NC[[#This Row],[DATA]]),N([ID]&lt;=NC[[#This Row],[ID]]))</f>
        <v>14.9</v>
      </c>
      <c r="R48" s="15">
        <f>TRUNC([CORRETAGEM]*SETUP!$F$3,2)</f>
        <v>0.28999999999999998</v>
      </c>
      <c r="S48" s="15">
        <f>ROUND([CORRETAGEM]*SETUP!$G$3,2)</f>
        <v>0.57999999999999996</v>
      </c>
      <c r="T48" s="15">
        <f>[VALOR LÍQUIDO DAS OPERAÇÕES]-[TAXA DE LIQUIDAÇÃO]-[EMOLUMENTOS]-[TAXA DE REGISTRO]-[CORRETAGEM]-[ISS]-IF(['[D/N']]="D",    0,    [OUTRAS BOVESPA])</f>
        <v>144.02999999999997</v>
      </c>
      <c r="U48" s="15">
        <f>IF(AND(['[D/N']]="D",    [T]="CV"),    ROUND([LÍQUIDO BASE]*0.01, 2),    0)</f>
        <v>0</v>
      </c>
      <c r="V48" s="15">
        <f>IF([PREÇO] &gt; 0,    [LÍQUIDO BASE]-SUMPRODUCT(N([DATA]=NC[[#This Row],[DATA]]),    [IRRF FONTE]),    0)</f>
        <v>144.02999999999997</v>
      </c>
      <c r="W48" s="20">
        <f>[LÍQUIDO]-SUMPRODUCT(N([DATA]=NC[[#This Row],[DATA]]),N([ID]=(NC[[#This Row],[ID]]-1)),[LÍQUIDO])</f>
        <v>144.02999999999997</v>
      </c>
      <c r="X48" s="15">
        <f>IF([T] = "VC", ABS([VALOR OP]) / [QTDE], [VALOR OP]/[QTDE])</f>
        <v>0.14402999999999996</v>
      </c>
      <c r="Y48" s="15">
        <f>TRUNC(IF(OR([T]="CV",[T]="VV"),     L48*SETUP!$H$3,     0),2)</f>
        <v>0</v>
      </c>
      <c r="Z4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B4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0.14402999999999996</v>
      </c>
      <c r="AC48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-322.35999999999996</v>
      </c>
      <c r="AD48" s="15">
        <f>IF([LUCRO TMP] &lt;&gt; 0, [LUCRO TMP] - SUMPRODUCT(N([ATIVO]=NC[[#This Row],[ATIVO]]),N(['[D/N']]="N"),N([ID]&lt;NC[[#This Row],[ID]]),N([PAR]=NC[[#This Row],[PAR]]), [LUCRO TMP]), 0)</f>
        <v>-322.35999999999996</v>
      </c>
      <c r="AE48" s="15">
        <f>IF([U] = "U", SUMPRODUCT(N([ID]&lt;=NC[[#This Row],[ID]]),N([DATA BASE]=NC[[#This Row],[DATA BASE]]), N(['[D/N']] = "N"),    [LUCRO P/ OP]), 0)</f>
        <v>0</v>
      </c>
      <c r="AF48" s="15">
        <f>IF([U] = "U",[LUCRO '[N']] + SUMPRODUCT(N(MONTH([DATA BASE])&lt;MONTH(NC[[#This Row],[DATA BASE]]) ), [LUCRO '[N']]),0)</f>
        <v>0</v>
      </c>
      <c r="AG48" s="15">
        <f>IF([U] = "U", SUMPRODUCT(N([DATA BASE]=NC[[#This Row],[DATA BASE]]), N(['[D/N']] = "D"),    [LUCRO P/ OP]), 0)</f>
        <v>0</v>
      </c>
      <c r="AH48" s="20">
        <f>IF([ TRIB. '[N']] &gt; 0,     ROUND([ TRIB. '[N']]*0.15,    2),    0)</f>
        <v>0</v>
      </c>
      <c r="AI48" s="20">
        <f>IF([LUCRO TRIB. DT] &gt; 0,     ROUND([LUCRO TRIB. DT]*0.2,    2)  -  SUMPRODUCT(N([DATA BASE]=NC[[#This Row],[DATA BASE]]),    [IRRF FONTE]),    0)</f>
        <v>0</v>
      </c>
      <c r="AJ48" s="19">
        <f>[IR '[N']] + [IR DEVIDO DT]</f>
        <v>0</v>
      </c>
      <c r="AK48" s="20">
        <f>IF(AND([U] = "U",[IR DEVIDO] &gt; 0), [IR DEVIDO] + 8.9, 0)</f>
        <v>0</v>
      </c>
      <c r="AL48" s="20">
        <f>[LUCRO '[N']]  + [LUCRO TRIB. DT] - [RESGATE]</f>
        <v>0</v>
      </c>
    </row>
    <row r="49" spans="1:38">
      <c r="A49" s="13">
        <v>48</v>
      </c>
      <c r="B49" s="13"/>
      <c r="C49" s="61" t="s">
        <v>125</v>
      </c>
      <c r="D49" s="13" t="s">
        <v>73</v>
      </c>
      <c r="E49" s="14">
        <v>41077</v>
      </c>
      <c r="F49" s="13">
        <v>1000</v>
      </c>
      <c r="G49" s="15">
        <v>0.36</v>
      </c>
      <c r="H49" s="13" t="s">
        <v>6</v>
      </c>
      <c r="I49" s="14">
        <f>WORKDAY(NC[[#This Row],[DATA]],1,0)</f>
        <v>41078</v>
      </c>
      <c r="J49" s="62">
        <f>EOMONTH(NC[[#This Row],[DATA DE LIQUIDAÇÃO]],0)</f>
        <v>41090</v>
      </c>
      <c r="K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9" s="15">
        <f>[QTDE]*[PREÇO]</f>
        <v>360</v>
      </c>
      <c r="M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-200</v>
      </c>
      <c r="N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0.14000000000000001</v>
      </c>
      <c r="O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P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Q49" s="15">
        <f>SETUP!$E$3*SUMPRODUCT(N([DATA]=NC[[#This Row],[DATA]]),N([ID]&lt;=NC[[#This Row],[ID]]))</f>
        <v>29.8</v>
      </c>
      <c r="R49" s="15">
        <f>TRUNC([CORRETAGEM]*SETUP!$F$3,2)</f>
        <v>0.59</v>
      </c>
      <c r="S49" s="15">
        <f>ROUND([CORRETAGEM]*SETUP!$G$3,2)</f>
        <v>1.1599999999999999</v>
      </c>
      <c r="T49" s="15">
        <f>[VALOR LÍQUIDO DAS OPERAÇÕES]-[TAXA DE LIQUIDAÇÃO]-[EMOLUMENTOS]-[TAXA DE REGISTRO]-[CORRETAGEM]-[ISS]-IF(['[D/N']]="D",    0,    [OUTRAS BOVESPA])</f>
        <v>-232.24</v>
      </c>
      <c r="U49" s="15">
        <f>IF(AND(['[D/N']]="D",    [T]="CV"),    ROUND([LÍQUIDO BASE]*0.01, 2),    0)</f>
        <v>0</v>
      </c>
      <c r="V49" s="15">
        <f>IF([PREÇO] &gt; 0,    [LÍQUIDO BASE]-SUMPRODUCT(N([DATA]=NC[[#This Row],[DATA]]),    [IRRF FONTE]),    0)</f>
        <v>-232.24</v>
      </c>
      <c r="W49" s="20">
        <f>[LÍQUIDO]-SUMPRODUCT(N([DATA]=NC[[#This Row],[DATA]]),N([ID]=(NC[[#This Row],[ID]]-1)),[LÍQUIDO])</f>
        <v>-376.27</v>
      </c>
      <c r="X49" s="15">
        <f>IF([T] = "VC", ABS([VALOR OP]) / [QTDE], [VALOR OP]/[QTDE])</f>
        <v>0.37626999999999999</v>
      </c>
      <c r="Y49" s="15">
        <f>TRUNC(IF(OR([T]="CV",[T]="VV"),     L49*SETUP!$H$3,     0),2)</f>
        <v>0</v>
      </c>
      <c r="Z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0.37626999999999999</v>
      </c>
      <c r="AB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C49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546.72</v>
      </c>
      <c r="AD49" s="15">
        <f>IF([LUCRO TMP] &lt;&gt; 0, [LUCRO TMP] - SUMPRODUCT(N([ATIVO]=NC[[#This Row],[ATIVO]]),N(['[D/N']]="N"),N([ID]&lt;NC[[#This Row],[ID]]),N([PAR]=NC[[#This Row],[PAR]]), [LUCRO TMP]), 0)</f>
        <v>546.72</v>
      </c>
      <c r="AE49" s="15">
        <f>IF([U] = "U", SUMPRODUCT(N([ID]&lt;=NC[[#This Row],[ID]]),N([DATA BASE]=NC[[#This Row],[DATA BASE]]), N(['[D/N']] = "N"),    [LUCRO P/ OP]), 0)</f>
        <v>0</v>
      </c>
      <c r="AF49" s="15">
        <f>IF([U] = "U",[LUCRO '[N']] + SUMPRODUCT(N(MONTH([DATA BASE])&lt;MONTH(NC[[#This Row],[DATA BASE]]) ), [LUCRO '[N']]),0)</f>
        <v>0</v>
      </c>
      <c r="AG49" s="15">
        <f>IF([U] = "U", SUMPRODUCT(N([DATA BASE]=NC[[#This Row],[DATA BASE]]), N(['[D/N']] = "D"),    [LUCRO P/ OP]), 0)</f>
        <v>0</v>
      </c>
      <c r="AH49" s="20">
        <f>IF([ TRIB. '[N']] &gt; 0,     ROUND([ TRIB. '[N']]*0.15,    2),    0)</f>
        <v>0</v>
      </c>
      <c r="AI49" s="20">
        <f>IF([LUCRO TRIB. DT] &gt; 0,     ROUND([LUCRO TRIB. DT]*0.2,    2)  -  SUMPRODUCT(N([DATA BASE]=NC[[#This Row],[DATA BASE]]),    [IRRF FONTE]),    0)</f>
        <v>0</v>
      </c>
      <c r="AJ49" s="19">
        <f>[IR '[N']] + [IR DEVIDO DT]</f>
        <v>0</v>
      </c>
      <c r="AK49" s="20">
        <f>IF(AND([U] = "U",[IR DEVIDO] &gt; 0), [IR DEVIDO] + 8.9, 0)</f>
        <v>0</v>
      </c>
      <c r="AL49" s="20">
        <f>[LUCRO '[N']]  + [LUCRO TRIB. DT] - [RESGATE]</f>
        <v>0</v>
      </c>
    </row>
    <row r="50" spans="1:38">
      <c r="A50" s="13">
        <v>49</v>
      </c>
      <c r="B50" s="13"/>
      <c r="C50" s="61" t="s">
        <v>114</v>
      </c>
      <c r="D50" s="13" t="s">
        <v>25</v>
      </c>
      <c r="E50" s="14">
        <v>41078</v>
      </c>
      <c r="F50" s="13">
        <v>200</v>
      </c>
      <c r="G50" s="15">
        <v>0.37</v>
      </c>
      <c r="H50" s="13" t="s">
        <v>6</v>
      </c>
      <c r="I50" s="14">
        <f>WORKDAY(NC[[#This Row],[DATA]],1,0)</f>
        <v>41079</v>
      </c>
      <c r="J50" s="62">
        <f>EOMONTH(NC[[#This Row],[DATA DE LIQUIDAÇÃO]],0)</f>
        <v>41090</v>
      </c>
      <c r="K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50" s="15">
        <f>[QTDE]*[PREÇO]</f>
        <v>74</v>
      </c>
      <c r="M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74</v>
      </c>
      <c r="N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Q50" s="15">
        <f>SETUP!$E$3*SUMPRODUCT(N([DATA]=NC[[#This Row],[DATA]]),N([ID]&lt;=NC[[#This Row],[ID]]))</f>
        <v>14.9</v>
      </c>
      <c r="R50" s="15">
        <f>TRUNC([CORRETAGEM]*SETUP!$F$3,2)</f>
        <v>0.28999999999999998</v>
      </c>
      <c r="S50" s="15">
        <f>ROUND([CORRETAGEM]*SETUP!$G$3,2)</f>
        <v>0.57999999999999996</v>
      </c>
      <c r="T50" s="15">
        <f>[VALOR LÍQUIDO DAS OPERAÇÕES]-[TAXA DE LIQUIDAÇÃO]-[EMOLUMENTOS]-[TAXA DE REGISTRO]-[CORRETAGEM]-[ISS]-IF(['[D/N']]="D",    0,    [OUTRAS BOVESPA])</f>
        <v>58.140000000000015</v>
      </c>
      <c r="U50" s="15">
        <f>IF(AND(['[D/N']]="D",    [T]="CV"),    ROUND([LÍQUIDO BASE]*0.01, 2),    0)</f>
        <v>0</v>
      </c>
      <c r="V50" s="15">
        <f>IF([PREÇO] &gt; 0,    [LÍQUIDO BASE]-SUMPRODUCT(N([DATA]=NC[[#This Row],[DATA]]),    [IRRF FONTE]),    0)</f>
        <v>58.140000000000015</v>
      </c>
      <c r="W50" s="20">
        <f>[LÍQUIDO]-SUMPRODUCT(N([DATA]=NC[[#This Row],[DATA]]),N([ID]=(NC[[#This Row],[ID]]-1)),[LÍQUIDO])</f>
        <v>58.140000000000015</v>
      </c>
      <c r="X50" s="15">
        <f>IF([T] = "VC", ABS([VALOR OP]) / [QTDE], [VALOR OP]/[QTDE])</f>
        <v>0.29070000000000007</v>
      </c>
      <c r="Y50" s="15">
        <f>TRUNC(IF(OR([T]="CV",[T]="VV"),     L50*SETUP!$H$3,     0),2)</f>
        <v>0</v>
      </c>
      <c r="Z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B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0.29070000000000007</v>
      </c>
      <c r="AC50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-95.800000000000011</v>
      </c>
      <c r="AD50" s="15">
        <f>IF([LUCRO TMP] &lt;&gt; 0, [LUCRO TMP] - SUMPRODUCT(N([ATIVO]=NC[[#This Row],[ATIVO]]),N(['[D/N']]="N"),N([ID]&lt;NC[[#This Row],[ID]]),N([PAR]=NC[[#This Row],[PAR]]), [LUCRO TMP]), 0)</f>
        <v>-95.800000000000011</v>
      </c>
      <c r="AE50" s="15">
        <f>IF([U] = "U", SUMPRODUCT(N([ID]&lt;=NC[[#This Row],[ID]]),N([DATA BASE]=NC[[#This Row],[DATA BASE]]), N(['[D/N']] = "N"),    [LUCRO P/ OP]), 0)</f>
        <v>0</v>
      </c>
      <c r="AF50" s="15">
        <f>IF([U] = "U",[LUCRO '[N']] + SUMPRODUCT(N(MONTH([DATA BASE])&lt;MONTH(NC[[#This Row],[DATA BASE]]) ), [LUCRO '[N']]),0)</f>
        <v>0</v>
      </c>
      <c r="AG50" s="15">
        <f>IF([U] = "U", SUMPRODUCT(N([DATA BASE]=NC[[#This Row],[DATA BASE]]), N(['[D/N']] = "D"),    [LUCRO P/ OP]), 0)</f>
        <v>0</v>
      </c>
      <c r="AH50" s="20">
        <f>IF([ TRIB. '[N']] &gt; 0,     ROUND([ TRIB. '[N']]*0.15,    2),    0)</f>
        <v>0</v>
      </c>
      <c r="AI50" s="20">
        <f>IF([LUCRO TRIB. DT] &gt; 0,     ROUND([LUCRO TRIB. DT]*0.2,    2)  -  SUMPRODUCT(N([DATA BASE]=NC[[#This Row],[DATA BASE]]),    [IRRF FONTE]),    0)</f>
        <v>0</v>
      </c>
      <c r="AJ50" s="19">
        <f>[IR '[N']] + [IR DEVIDO DT]</f>
        <v>0</v>
      </c>
      <c r="AK50" s="20">
        <f>IF(AND([U] = "U",[IR DEVIDO] &gt; 0), [IR DEVIDO] + 8.9, 0)</f>
        <v>0</v>
      </c>
      <c r="AL50" s="20">
        <f>[LUCRO '[N']]  + [LUCRO TRIB. DT] - [RESGATE]</f>
        <v>0</v>
      </c>
    </row>
    <row r="51" spans="1:38">
      <c r="A51" s="13">
        <v>50</v>
      </c>
      <c r="B51" s="13" t="s">
        <v>53</v>
      </c>
      <c r="C51" s="61" t="s">
        <v>115</v>
      </c>
      <c r="D51" s="13" t="s">
        <v>73</v>
      </c>
      <c r="E51" s="14">
        <v>41078</v>
      </c>
      <c r="F51" s="13">
        <v>200</v>
      </c>
      <c r="G51" s="15">
        <v>0.82</v>
      </c>
      <c r="H51" s="13" t="s">
        <v>6</v>
      </c>
      <c r="I51" s="14">
        <f>WORKDAY(NC[[#This Row],[DATA]],1,0)</f>
        <v>41079</v>
      </c>
      <c r="J51" s="62">
        <f>EOMONTH(NC[[#This Row],[DATA DE LIQUIDAÇÃO]],0)</f>
        <v>41090</v>
      </c>
      <c r="K5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51" s="15">
        <f>[QTDE]*[PREÇO]</f>
        <v>164</v>
      </c>
      <c r="M5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-90</v>
      </c>
      <c r="N5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O5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P5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0.16</v>
      </c>
      <c r="Q51" s="15">
        <f>SETUP!$E$3*SUMPRODUCT(N([DATA]=NC[[#This Row],[DATA]]),N([ID]&lt;=NC[[#This Row],[ID]]))</f>
        <v>29.8</v>
      </c>
      <c r="R51" s="15">
        <f>TRUNC([CORRETAGEM]*SETUP!$F$3,2)</f>
        <v>0.59</v>
      </c>
      <c r="S51" s="15">
        <f>ROUND([CORRETAGEM]*SETUP!$G$3,2)</f>
        <v>1.1599999999999999</v>
      </c>
      <c r="T51" s="15">
        <f>[VALOR LÍQUIDO DAS OPERAÇÕES]-[TAXA DE LIQUIDAÇÃO]-[EMOLUMENTOS]-[TAXA DE REGISTRO]-[CORRETAGEM]-[ISS]-IF(['[D/N']]="D",    0,    [OUTRAS BOVESPA])</f>
        <v>-121.85</v>
      </c>
      <c r="U51" s="15">
        <f>IF(AND(['[D/N']]="D",    [T]="CV"),    ROUND([LÍQUIDO BASE]*0.01, 2),    0)</f>
        <v>0</v>
      </c>
      <c r="V51" s="15">
        <f>IF([PREÇO] &gt; 0,    [LÍQUIDO BASE]-SUMPRODUCT(N([DATA]=NC[[#This Row],[DATA]]),    [IRRF FONTE]),    0)</f>
        <v>-121.85</v>
      </c>
      <c r="W51" s="20">
        <f>[LÍQUIDO]-SUMPRODUCT(N([DATA]=NC[[#This Row],[DATA]]),N([ID]=(NC[[#This Row],[ID]]-1)),[LÍQUIDO])</f>
        <v>-179.99</v>
      </c>
      <c r="X51" s="15">
        <f>IF([T] = "VC", ABS([VALOR OP]) / [QTDE], [VALOR OP]/[QTDE])</f>
        <v>0.89995000000000003</v>
      </c>
      <c r="Y51" s="15">
        <f>TRUNC(IF(OR([T]="CV",[T]="VV"),     L51*SETUP!$H$3,     0),2)</f>
        <v>0</v>
      </c>
      <c r="Z5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5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0.89995000000000003</v>
      </c>
      <c r="AB5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C51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77.86</v>
      </c>
      <c r="AD51" s="15">
        <f>IF([LUCRO TMP] &lt;&gt; 0, [LUCRO TMP] - SUMPRODUCT(N([ATIVO]=NC[[#This Row],[ATIVO]]),N(['[D/N']]="N"),N([ID]&lt;NC[[#This Row],[ID]]),N([PAR]=NC[[#This Row],[PAR]]), [LUCRO TMP]), 0)</f>
        <v>77.86</v>
      </c>
      <c r="AE51" s="15">
        <f>IF([U] = "U", SUMPRODUCT(N([ID]&lt;=NC[[#This Row],[ID]]),N([DATA BASE]=NC[[#This Row],[DATA BASE]]), N(['[D/N']] = "N"),    [LUCRO P/ OP]), 0)</f>
        <v>206.42000000000007</v>
      </c>
      <c r="AF51" s="15">
        <f>IF([U] = "U",[LUCRO '[N']] + SUMPRODUCT(N(MONTH([DATA BASE])&lt;MONTH(NC[[#This Row],[DATA BASE]]) ), [LUCRO '[N']]),0)</f>
        <v>-976.69999999999959</v>
      </c>
      <c r="AG51" s="15">
        <f>IF([U] = "U", SUMPRODUCT(N([DATA BASE]=NC[[#This Row],[DATA BASE]]), N(['[D/N']] = "D"),    [LUCRO P/ OP]), 0)</f>
        <v>0</v>
      </c>
      <c r="AH51" s="20">
        <f>IF([ TRIB. '[N']] &gt; 0,     ROUND([ TRIB. '[N']]*0.15,    2),    0)</f>
        <v>0</v>
      </c>
      <c r="AI51" s="20">
        <f>IF([LUCRO TRIB. DT] &gt; 0,     ROUND([LUCRO TRIB. DT]*0.2,    2)  -  SUMPRODUCT(N([DATA BASE]=NC[[#This Row],[DATA BASE]]),    [IRRF FONTE]),    0)</f>
        <v>0</v>
      </c>
      <c r="AJ51" s="19">
        <f>[IR '[N']] + [IR DEVIDO DT]</f>
        <v>0</v>
      </c>
      <c r="AK51" s="20">
        <f>IF(AND([U] = "U",[IR DEVIDO] &gt; 0), [IR DEVIDO] + 8.9, 0)</f>
        <v>0</v>
      </c>
      <c r="AL51" s="20">
        <f>[LUCRO '[N']]  + [LUCRO TRIB. DT] - [RESGATE]</f>
        <v>206.42000000000007</v>
      </c>
    </row>
    <row r="52" spans="1:38">
      <c r="A52" s="70">
        <f>SUBTOTAL(104,[ID])</f>
        <v>50</v>
      </c>
      <c r="B52" s="70"/>
      <c r="C52" s="70"/>
      <c r="D52" s="70"/>
      <c r="E52" s="70"/>
      <c r="F52" s="70"/>
      <c r="G52" s="70">
        <f>NC[[#Totals],[ID]]*14.9</f>
        <v>745</v>
      </c>
      <c r="H52" s="70">
        <f>NC[[#Totals],[LUCRO P/ OP]]+NC[[#Totals],[PREÇO]]</f>
        <v>246.81000000000029</v>
      </c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47"/>
      <c r="U52" s="70"/>
      <c r="V52" s="47"/>
      <c r="W52" s="47"/>
      <c r="X52" s="70"/>
      <c r="Y52" s="47">
        <f>SUBTOTAL(109,[IRRF])</f>
        <v>0.21000000000000002</v>
      </c>
      <c r="Z52" s="47"/>
      <c r="AA52" s="70"/>
      <c r="AB52" s="70"/>
      <c r="AC52" s="47"/>
      <c r="AD52" s="47">
        <f>SUBTOTAL(109,[LUCRO P/ OP])</f>
        <v>-498.18999999999971</v>
      </c>
      <c r="AE52" s="47"/>
      <c r="AF52" s="47"/>
      <c r="AG52" s="71"/>
      <c r="AH52" s="47"/>
      <c r="AI52" s="47"/>
      <c r="AJ52" s="72"/>
      <c r="AK52" s="72"/>
      <c r="AL52" s="73">
        <f>SUBTOTAL(109,[LUCRO LÍQUIDO])</f>
        <v>-598.00999999999976</v>
      </c>
    </row>
    <row r="53" spans="1:38">
      <c r="AD53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4"/>
  <dimension ref="A1:J12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12" sqref="E12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5703125" style="7" bestFit="1" customWidth="1"/>
    <col min="10" max="10" width="13.28515625" style="7" bestFit="1" customWidth="1"/>
    <col min="11" max="16384" width="11.5703125" style="7"/>
  </cols>
  <sheetData>
    <row r="1" spans="1:10">
      <c r="A1" s="24" t="s">
        <v>61</v>
      </c>
      <c r="B1" s="24" t="s">
        <v>68</v>
      </c>
      <c r="C1" s="26" t="s">
        <v>62</v>
      </c>
      <c r="D1" s="26" t="s">
        <v>63</v>
      </c>
      <c r="E1" s="26" t="s">
        <v>64</v>
      </c>
      <c r="F1" s="26" t="s">
        <v>69</v>
      </c>
      <c r="G1" s="26" t="s">
        <v>1</v>
      </c>
      <c r="H1" s="26" t="s">
        <v>66</v>
      </c>
      <c r="I1" s="26" t="s">
        <v>67</v>
      </c>
      <c r="J1" s="26" t="s">
        <v>90</v>
      </c>
    </row>
    <row r="2" spans="1:10">
      <c r="A2" s="7" t="s">
        <v>98</v>
      </c>
      <c r="B2" s="25">
        <v>873.38</v>
      </c>
      <c r="C2" s="25">
        <v>37.090000000000003</v>
      </c>
      <c r="D2" s="25">
        <v>1.31</v>
      </c>
      <c r="E2" s="40">
        <v>36.86</v>
      </c>
      <c r="F2" s="28">
        <f>ROUNDDOWN([APLICAÇÃO]/[PREÇO OPÇÃO], 0)</f>
        <v>666</v>
      </c>
      <c r="G2" s="28">
        <f>[QTDE TMP] - MOD([QTDE TMP], 100)</f>
        <v>600</v>
      </c>
      <c r="H2" s="25">
        <f>[EXERCÍCIO] + ([PREÇO OPÇÃO] * 2)</f>
        <v>39.71</v>
      </c>
      <c r="I2" s="27">
        <f>[TARGET 100%] / [PREÇO AÇÃO] - 1</f>
        <v>7.7319587628865927E-2</v>
      </c>
      <c r="J2" s="25">
        <f>[PREÇO OPÇÃO] * [QTDE] - 30</f>
        <v>756</v>
      </c>
    </row>
    <row r="3" spans="1:10">
      <c r="A3" s="7" t="s">
        <v>93</v>
      </c>
      <c r="B3" s="25">
        <v>873.38</v>
      </c>
      <c r="C3" s="25">
        <v>36.090000000000003</v>
      </c>
      <c r="D3" s="25">
        <v>1.47</v>
      </c>
      <c r="E3" s="40">
        <f t="shared" ref="E3:E7" si="0">35.7</f>
        <v>35.700000000000003</v>
      </c>
      <c r="F3" s="28">
        <f>ROUNDDOWN([APLICAÇÃO]/[PREÇO OPÇÃO], 0)</f>
        <v>594</v>
      </c>
      <c r="G3" s="28">
        <f>[QTDE TMP] - MOD([QTDE TMP], 100)</f>
        <v>500</v>
      </c>
      <c r="H3" s="25">
        <f>[EXERCÍCIO] + ([PREÇO OPÇÃO] * 2)</f>
        <v>39.03</v>
      </c>
      <c r="I3" s="27">
        <f>[TARGET 100%] / [PREÇO AÇÃO] - 1</f>
        <v>9.3277310924369639E-2</v>
      </c>
      <c r="J3" s="25">
        <f>[PREÇO OPÇÃO] * [QTDE] - 30</f>
        <v>705</v>
      </c>
    </row>
    <row r="4" spans="1:10">
      <c r="A4" s="7" t="s">
        <v>91</v>
      </c>
      <c r="B4" s="25">
        <v>873.38</v>
      </c>
      <c r="C4" s="25">
        <v>39.090000000000003</v>
      </c>
      <c r="D4" s="25">
        <v>0.32</v>
      </c>
      <c r="E4" s="40">
        <f t="shared" si="0"/>
        <v>35.700000000000003</v>
      </c>
      <c r="F4" s="28">
        <f>ROUNDDOWN([APLICAÇÃO]/[PREÇO OPÇÃO], 0)</f>
        <v>2729</v>
      </c>
      <c r="G4" s="28">
        <f>[QTDE TMP] - MOD([QTDE TMP], 100)</f>
        <v>2700</v>
      </c>
      <c r="H4" s="25">
        <f>[EXERCÍCIO] + ([PREÇO OPÇÃO] * 2)</f>
        <v>39.730000000000004</v>
      </c>
      <c r="I4" s="27">
        <f>[TARGET 100%] / [PREÇO AÇÃO] - 1</f>
        <v>0.11288515406162469</v>
      </c>
      <c r="J4" s="25">
        <f>[PREÇO OPÇÃO] * [QTDE] - 30</f>
        <v>834</v>
      </c>
    </row>
    <row r="5" spans="1:10">
      <c r="A5" s="7" t="s">
        <v>71</v>
      </c>
      <c r="B5" s="25">
        <v>873.38</v>
      </c>
      <c r="C5" s="25">
        <v>40.090000000000003</v>
      </c>
      <c r="D5" s="25">
        <v>0.14000000000000001</v>
      </c>
      <c r="E5" s="40">
        <f t="shared" si="0"/>
        <v>35.700000000000003</v>
      </c>
      <c r="F5" s="28">
        <f>ROUNDDOWN([APLICAÇÃO]/[PREÇO OPÇÃO], 0)</f>
        <v>6238</v>
      </c>
      <c r="G5" s="28">
        <f>[QTDE TMP] - MOD([QTDE TMP], 100)</f>
        <v>6200</v>
      </c>
      <c r="H5" s="25">
        <f>[EXERCÍCIO] + ([PREÇO OPÇÃO] * 2)</f>
        <v>40.370000000000005</v>
      </c>
      <c r="I5" s="27">
        <f>[TARGET 100%] / [PREÇO AÇÃO] - 1</f>
        <v>0.13081232492997197</v>
      </c>
      <c r="J5" s="25">
        <f>[PREÇO OPÇÃO] * [QTDE] - 30</f>
        <v>838.00000000000011</v>
      </c>
    </row>
    <row r="6" spans="1:10">
      <c r="A6" s="7" t="s">
        <v>92</v>
      </c>
      <c r="B6" s="25">
        <v>873.38</v>
      </c>
      <c r="C6" s="25">
        <v>39.229999999999997</v>
      </c>
      <c r="D6" s="25">
        <v>0.28000000000000003</v>
      </c>
      <c r="E6" s="40">
        <f t="shared" si="0"/>
        <v>35.700000000000003</v>
      </c>
      <c r="F6" s="28">
        <f>ROUNDDOWN([APLICAÇÃO]/[PREÇO OPÇÃO], 0)</f>
        <v>3119</v>
      </c>
      <c r="G6" s="28">
        <f>[QTDE TMP] - MOD([QTDE TMP], 100)</f>
        <v>3100</v>
      </c>
      <c r="H6" s="25">
        <f>[EXERCÍCIO] + ([PREÇO OPÇÃO] * 2)</f>
        <v>39.79</v>
      </c>
      <c r="I6" s="27">
        <f>[TARGET 100%] / [PREÇO AÇÃO] - 1</f>
        <v>0.11456582633053203</v>
      </c>
      <c r="J6" s="25">
        <f>[PREÇO OPÇÃO] * [QTDE] - 30</f>
        <v>838.00000000000011</v>
      </c>
    </row>
    <row r="7" spans="1:10">
      <c r="A7" s="7" t="s">
        <v>70</v>
      </c>
      <c r="B7" s="25">
        <v>873.38</v>
      </c>
      <c r="C7" s="25">
        <v>42.09</v>
      </c>
      <c r="D7" s="25">
        <v>0.02</v>
      </c>
      <c r="E7" s="25">
        <f t="shared" si="0"/>
        <v>35.700000000000003</v>
      </c>
      <c r="F7" s="28">
        <f>ROUNDDOWN([APLICAÇÃO]/[PREÇO OPÇÃO], 0)</f>
        <v>43669</v>
      </c>
      <c r="G7" s="28">
        <f>[QTDE TMP] - MOD([QTDE TMP], 100)</f>
        <v>43600</v>
      </c>
      <c r="H7" s="25">
        <f>[EXERCÍCIO] + ([PREÇO OPÇÃO] * 2)</f>
        <v>42.13</v>
      </c>
      <c r="I7" s="27">
        <f>[TARGET 100%] / [PREÇO AÇÃO] - 1</f>
        <v>0.1801120448179272</v>
      </c>
      <c r="J7" s="25">
        <f>[PREÇO OPÇÃO] * [QTDE] - 30</f>
        <v>842</v>
      </c>
    </row>
    <row r="8" spans="1:10">
      <c r="A8" s="41" t="s">
        <v>109</v>
      </c>
      <c r="B8" s="25">
        <v>873.38</v>
      </c>
      <c r="C8" s="42">
        <v>18.829999999999998</v>
      </c>
      <c r="D8" s="42">
        <v>1.05</v>
      </c>
      <c r="E8" s="43">
        <v>19.07</v>
      </c>
      <c r="F8" s="44">
        <f>ROUNDDOWN([APLICAÇÃO]/[PREÇO OPÇÃO], 0)</f>
        <v>831</v>
      </c>
      <c r="G8" s="44">
        <f>[QTDE TMP] - MOD([QTDE TMP], 100)</f>
        <v>800</v>
      </c>
      <c r="H8" s="42">
        <f>[EXERCÍCIO] + ([PREÇO OPÇÃO] * 2)</f>
        <v>20.93</v>
      </c>
      <c r="I8" s="45">
        <f>[TARGET 100%] / [PREÇO AÇÃO] - 1</f>
        <v>9.7535395909805978E-2</v>
      </c>
      <c r="J8" s="42">
        <f>[PREÇO OPÇÃO] * [QTDE] - 30</f>
        <v>810</v>
      </c>
    </row>
    <row r="9" spans="1:10">
      <c r="A9" s="41" t="s">
        <v>123</v>
      </c>
      <c r="B9" s="25">
        <v>873.38</v>
      </c>
      <c r="C9" s="42">
        <v>19.829999999999998</v>
      </c>
      <c r="D9" s="42">
        <v>0.94</v>
      </c>
      <c r="E9" s="43">
        <v>20.07</v>
      </c>
      <c r="F9" s="44">
        <f>ROUNDDOWN([APLICAÇÃO]/[PREÇO OPÇÃO], 0)</f>
        <v>929</v>
      </c>
      <c r="G9" s="44">
        <f>[QTDE TMP] - MOD([QTDE TMP], 100)</f>
        <v>900</v>
      </c>
      <c r="H9" s="42">
        <f>[EXERCÍCIO] + ([PREÇO OPÇÃO] * 2)</f>
        <v>21.709999999999997</v>
      </c>
      <c r="I9" s="45">
        <f>[TARGET 100%] / [PREÇO AÇÃO] - 1</f>
        <v>8.1714000996512048E-2</v>
      </c>
      <c r="J9" s="42">
        <f>[PREÇO OPÇÃO] * [QTDE] - 30</f>
        <v>816</v>
      </c>
    </row>
    <row r="10" spans="1:10">
      <c r="A10" s="41" t="s">
        <v>123</v>
      </c>
      <c r="B10" s="25">
        <v>873.38</v>
      </c>
      <c r="C10" s="42">
        <v>20.71</v>
      </c>
      <c r="D10" s="42">
        <v>0.5</v>
      </c>
      <c r="E10" s="43">
        <v>20.399999999999999</v>
      </c>
      <c r="F10" s="44">
        <f>ROUNDDOWN([APLICAÇÃO]/[PREÇO OPÇÃO], 0)</f>
        <v>1746</v>
      </c>
      <c r="G10" s="44">
        <f>[QTDE TMP] - MOD([QTDE TMP], 100)</f>
        <v>1700</v>
      </c>
      <c r="H10" s="42">
        <f>[EXERCÍCIO] + ([PREÇO OPÇÃO] * 2)</f>
        <v>21.71</v>
      </c>
      <c r="I10" s="45">
        <f>[TARGET 100%] / [PREÇO AÇÃO] - 1</f>
        <v>6.421568627451002E-2</v>
      </c>
      <c r="J10" s="42">
        <f>[PREÇO OPÇÃO] * [QTDE] - 30</f>
        <v>820</v>
      </c>
    </row>
    <row r="11" spans="1:10">
      <c r="A11" s="41" t="s">
        <v>124</v>
      </c>
      <c r="B11" s="25">
        <v>873.38</v>
      </c>
      <c r="C11" s="42">
        <v>13</v>
      </c>
      <c r="D11" s="42">
        <v>0.43</v>
      </c>
      <c r="E11" s="43">
        <v>12.43</v>
      </c>
      <c r="F11" s="44">
        <f>ROUNDDOWN([APLICAÇÃO]/[PREÇO OPÇÃO], 0)</f>
        <v>2031</v>
      </c>
      <c r="G11" s="44">
        <f>[QTDE TMP] - MOD([QTDE TMP], 100)</f>
        <v>2000</v>
      </c>
      <c r="H11" s="42">
        <f>[EXERCÍCIO] + ([PREÇO OPÇÃO] * 2)</f>
        <v>13.86</v>
      </c>
      <c r="I11" s="45">
        <f>[TARGET 100%] / [PREÇO AÇÃO] - 1</f>
        <v>0.11504424778761058</v>
      </c>
      <c r="J11" s="42">
        <f>[PREÇO OPÇÃO] * [QTDE] - 30</f>
        <v>830</v>
      </c>
    </row>
    <row r="12" spans="1:10">
      <c r="A12" s="41" t="s">
        <v>15</v>
      </c>
      <c r="B12" s="46"/>
      <c r="C12" s="46"/>
      <c r="D12" s="46"/>
      <c r="E12" s="46"/>
      <c r="F12" s="46"/>
      <c r="G12" s="46"/>
      <c r="H12" s="46"/>
      <c r="I12" s="46"/>
      <c r="J12" s="4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9" sqref="C9"/>
    </sheetView>
  </sheetViews>
  <sheetFormatPr defaultColWidth="11.5703125" defaultRowHeight="11.25"/>
  <cols>
    <col min="1" max="1" width="7.42578125" style="7" bestFit="1" customWidth="1"/>
    <col min="2" max="2" width="8.570312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9.85546875" style="7" bestFit="1" customWidth="1"/>
    <col min="9" max="9" width="15.5703125" style="7" bestFit="1" customWidth="1"/>
    <col min="10" max="10" width="15.42578125" style="7" bestFit="1" customWidth="1"/>
    <col min="11" max="11" width="7.7109375" style="7" hidden="1" customWidth="1"/>
    <col min="12" max="12" width="7.5703125" style="7" bestFit="1" customWidth="1"/>
    <col min="13" max="13" width="9.855468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61</v>
      </c>
      <c r="B1" s="24" t="s">
        <v>116</v>
      </c>
      <c r="C1" s="24" t="s">
        <v>64</v>
      </c>
      <c r="D1" s="26" t="s">
        <v>78</v>
      </c>
      <c r="E1" s="26" t="s">
        <v>79</v>
      </c>
      <c r="F1" s="26" t="s">
        <v>76</v>
      </c>
      <c r="G1" s="26" t="s">
        <v>77</v>
      </c>
      <c r="H1" s="26" t="s">
        <v>127</v>
      </c>
      <c r="I1" s="26" t="s">
        <v>80</v>
      </c>
      <c r="J1" s="26" t="s">
        <v>81</v>
      </c>
      <c r="K1" s="26" t="s">
        <v>69</v>
      </c>
      <c r="L1" s="26" t="s">
        <v>1</v>
      </c>
      <c r="M1" s="26" t="s">
        <v>87</v>
      </c>
      <c r="N1" s="26" t="s">
        <v>88</v>
      </c>
      <c r="O1" s="26" t="s">
        <v>83</v>
      </c>
      <c r="P1" s="26" t="s">
        <v>84</v>
      </c>
    </row>
    <row r="2" spans="1:16">
      <c r="A2" s="7" t="s">
        <v>89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</f>
        <v>118</v>
      </c>
      <c r="N2" s="25">
        <f>[QTDE]*[PERDA P/ OPÇÃO]</f>
        <v>-81.999999999999986</v>
      </c>
      <c r="O2" s="27">
        <f>[EXERC. VENDA]/[PREÇO AÇÃO]-1</f>
        <v>2.3226135783563029E-2</v>
      </c>
      <c r="P2" s="39">
        <f>[LUCRO*]/ABS([PERDA*])</f>
        <v>1.4390243902439026</v>
      </c>
    </row>
    <row r="3" spans="1:16">
      <c r="A3" s="7" t="s">
        <v>75</v>
      </c>
      <c r="B3" s="25">
        <v>100</v>
      </c>
      <c r="C3" s="25">
        <v>20.07</v>
      </c>
      <c r="D3" s="25">
        <v>18.88</v>
      </c>
      <c r="E3" s="25">
        <v>1.52</v>
      </c>
      <c r="F3" s="25">
        <v>20.88</v>
      </c>
      <c r="G3" s="25">
        <v>0.3</v>
      </c>
      <c r="H3" s="25">
        <f>([QTDE] * [PREÇO COMPRA]) + ([QTDE] * [PREÇO VENDA])</f>
        <v>182</v>
      </c>
      <c r="I3" s="25">
        <f>[PREÇO VENDA]-[PREÇO COMPRA]</f>
        <v>1.22</v>
      </c>
      <c r="J3" s="25">
        <f>(0.01 - [PREÇO COMPRA]) + ([PREÇO VENDA] - ([EXERC. COMPRA]-[EXERC. VENDA]+0.01))</f>
        <v>-0.7799999999999998</v>
      </c>
      <c r="K3" s="28">
        <f>ROUNDDOWN([RISCO]/ABS([PERDA P/ OPÇÃO]), 0)</f>
        <v>128</v>
      </c>
      <c r="L3" s="28">
        <f>[QTDE TMP] - MOD([QTDE TMP], 100)</f>
        <v>100</v>
      </c>
      <c r="M3" s="25">
        <f>([QTDE]*[LUCRO P/ OPÇÃO])</f>
        <v>122</v>
      </c>
      <c r="N3" s="25">
        <f>[QTDE]*[PERDA P/ OPÇÃO]</f>
        <v>-77.999999999999986</v>
      </c>
      <c r="O3" s="27">
        <f>[EXERC. VENDA]/[PREÇO AÇÃO]-1</f>
        <v>-5.9292476332835187E-2</v>
      </c>
      <c r="P3" s="39">
        <f>[LUCRO*]/ABS([PERDA*])</f>
        <v>1.5641025641025643</v>
      </c>
    </row>
    <row r="4" spans="1:16">
      <c r="A4" s="7" t="s">
        <v>89</v>
      </c>
      <c r="B4" s="25">
        <v>450</v>
      </c>
      <c r="C4" s="25">
        <v>38</v>
      </c>
      <c r="D4" s="25">
        <v>37.090000000000003</v>
      </c>
      <c r="E4" s="25">
        <v>1.02</v>
      </c>
      <c r="F4" s="25">
        <v>38.090000000000003</v>
      </c>
      <c r="G4" s="25">
        <v>0.5</v>
      </c>
      <c r="H4" s="25">
        <f>([QTDE] * [PREÇO COMPRA]) + ([QTDE] * [PREÇO VENDA])</f>
        <v>1368</v>
      </c>
      <c r="I4" s="40">
        <f>[PREÇO VENDA]-[PREÇO COMPRA]</f>
        <v>0.52</v>
      </c>
      <c r="J4" s="40">
        <f>(0.01 - [PREÇO COMPRA]) + ([PREÇO VENDA] - ([EXERC. COMPRA]-[EXERC. VENDA]+0.01))</f>
        <v>-0.48</v>
      </c>
      <c r="K4" s="28">
        <f>ROUNDDOWN([RISCO]/ABS([PERDA P/ OPÇÃO]), 0)</f>
        <v>937</v>
      </c>
      <c r="L4" s="28">
        <f>[QTDE TMP] - MOD([QTDE TMP], 100)</f>
        <v>900</v>
      </c>
      <c r="M4" s="40">
        <f>([QTDE]*[LUCRO P/ OPÇÃO])</f>
        <v>468</v>
      </c>
      <c r="N4" s="25">
        <f>[QTDE]*[PERDA P/ OPÇÃO]</f>
        <v>-432</v>
      </c>
      <c r="O4" s="27">
        <f>[EXERC. VENDA]/[PREÇO AÇÃO]-1</f>
        <v>-2.3947368421052495E-2</v>
      </c>
      <c r="P4" s="39">
        <f>[LUCRO*]/ABS([PERDA*])</f>
        <v>1.0833333333333333</v>
      </c>
    </row>
    <row r="5" spans="1:16">
      <c r="A5" s="55" t="s">
        <v>112</v>
      </c>
      <c r="B5" s="56">
        <v>90</v>
      </c>
      <c r="C5" s="56">
        <v>11.83</v>
      </c>
      <c r="D5" s="56">
        <v>11</v>
      </c>
      <c r="E5" s="56">
        <v>1.37</v>
      </c>
      <c r="F5" s="56">
        <v>12</v>
      </c>
      <c r="G5" s="56">
        <v>0.69</v>
      </c>
      <c r="H5" s="56">
        <f>([QTDE] * [PREÇO COMPRA]) + ([QTDE] * [PREÇO VENDA])</f>
        <v>412</v>
      </c>
      <c r="I5" s="57">
        <f>[PREÇO VENDA]-[PREÇO COMPRA]</f>
        <v>0.68000000000000016</v>
      </c>
      <c r="J5" s="57">
        <f>(0.01 - [PREÇO COMPRA]) + ([PREÇO VENDA] - ([EXERC. COMPRA]-[EXERC. VENDA]+0.01))</f>
        <v>-0.31999999999999984</v>
      </c>
      <c r="K5" s="58">
        <f>ROUNDDOWN([RISCO]/ABS([PERDA P/ OPÇÃO]), 0)</f>
        <v>281</v>
      </c>
      <c r="L5" s="58">
        <f>[QTDE TMP] - MOD([QTDE TMP], 100)</f>
        <v>200</v>
      </c>
      <c r="M5" s="57">
        <f>([QTDE]*[LUCRO P/ OPÇÃO])</f>
        <v>136.00000000000003</v>
      </c>
      <c r="N5" s="56">
        <f>[QTDE]*[PERDA P/ OPÇÃO]</f>
        <v>-63.999999999999972</v>
      </c>
      <c r="O5" s="59">
        <f>[EXERC. VENDA]/[PREÇO AÇÃO]-1</f>
        <v>-7.0160608622147125E-2</v>
      </c>
      <c r="P5" s="60">
        <f>[LUCRO*]/ABS([PERDA*])</f>
        <v>2.1250000000000013</v>
      </c>
    </row>
    <row r="6" spans="1:16">
      <c r="A6" s="7" t="s">
        <v>75</v>
      </c>
      <c r="B6" s="25">
        <v>300</v>
      </c>
      <c r="C6" s="25">
        <v>20.25</v>
      </c>
      <c r="D6" s="25">
        <v>18.829999999999998</v>
      </c>
      <c r="E6" s="25">
        <v>1.69</v>
      </c>
      <c r="F6" s="25">
        <v>20.71</v>
      </c>
      <c r="G6" s="25">
        <v>0.45</v>
      </c>
      <c r="H6" s="25">
        <f>([QTDE] * [PREÇO COMPRA]) + ([QTDE] * [PREÇO VENDA])</f>
        <v>856</v>
      </c>
      <c r="I6" s="57">
        <f>[PREÇO VENDA]-[PREÇO COMPRA]</f>
        <v>1.24</v>
      </c>
      <c r="J6" s="57">
        <f>(0.01 - [PREÇO COMPRA]) + ([PREÇO VENDA] - ([EXERC. COMPRA]-[EXERC. VENDA]+0.01))</f>
        <v>-0.64000000000000257</v>
      </c>
      <c r="K6" s="58">
        <f>ROUNDDOWN([RISCO]/ABS([PERDA P/ OPÇÃO]), 0)</f>
        <v>468</v>
      </c>
      <c r="L6" s="58">
        <f>[QTDE TMP] - MOD([QTDE TMP], 100)</f>
        <v>400</v>
      </c>
      <c r="M6" s="57">
        <f>([QTDE]*[LUCRO P/ OPÇÃO])</f>
        <v>496</v>
      </c>
      <c r="N6" s="57">
        <f>[QTDE]*[PERDA P/ OPÇÃO]</f>
        <v>-256.00000000000102</v>
      </c>
      <c r="O6" s="59">
        <f>[EXERC. VENDA]/[PREÇO AÇÃO]-1</f>
        <v>-7.0123456790123551E-2</v>
      </c>
      <c r="P6" s="60">
        <f>[LUCRO*]/ABS([PERDA*])</f>
        <v>1.9374999999999922</v>
      </c>
    </row>
    <row r="7" spans="1:16">
      <c r="A7" s="7" t="s">
        <v>75</v>
      </c>
      <c r="B7" s="25">
        <v>400</v>
      </c>
      <c r="C7" s="25">
        <v>20.25</v>
      </c>
      <c r="D7" s="25">
        <v>19.829999999999998</v>
      </c>
      <c r="E7" s="25">
        <v>0.94</v>
      </c>
      <c r="F7" s="25">
        <v>20.71</v>
      </c>
      <c r="G7" s="25">
        <v>0.45</v>
      </c>
      <c r="H7" s="25">
        <f>([QTDE] * [PREÇO COMPRA]) + ([QTDE] * [PREÇO VENDA])</f>
        <v>1390</v>
      </c>
      <c r="I7" s="57">
        <f>[PREÇO VENDA]-[PREÇO COMPRA]</f>
        <v>0.48999999999999994</v>
      </c>
      <c r="J7" s="57">
        <f>(0.01 - [PREÇO COMPRA]) + ([PREÇO VENDA] - ([EXERC. COMPRA]-[EXERC. VENDA]+0.01))</f>
        <v>-0.39000000000000262</v>
      </c>
      <c r="K7" s="58">
        <f>ROUNDDOWN([RISCO]/ABS([PERDA P/ OPÇÃO]), 0)</f>
        <v>1025</v>
      </c>
      <c r="L7" s="58">
        <f>[QTDE TMP] - MOD([QTDE TMP], 100)</f>
        <v>1000</v>
      </c>
      <c r="M7" s="57">
        <f>([QTDE]*[LUCRO P/ OPÇÃO])</f>
        <v>489.99999999999994</v>
      </c>
      <c r="N7" s="57">
        <f>[QTDE]*[PERDA P/ OPÇÃO]</f>
        <v>-390.00000000000261</v>
      </c>
      <c r="O7" s="59">
        <f>[EXERC. VENDA]/[PREÇO AÇÃO]-1</f>
        <v>-2.0740740740740837E-2</v>
      </c>
      <c r="P7" s="60">
        <f>[LUCRO*]/ABS([PERDA*])</f>
        <v>1.2564102564102479</v>
      </c>
    </row>
    <row r="8" spans="1:16">
      <c r="A8" s="7" t="s">
        <v>75</v>
      </c>
      <c r="B8" s="25">
        <v>300</v>
      </c>
      <c r="C8" s="25">
        <v>19.37</v>
      </c>
      <c r="D8" s="25">
        <v>17.829999999999998</v>
      </c>
      <c r="E8" s="25">
        <v>1.96</v>
      </c>
      <c r="F8" s="25">
        <v>18.829999999999998</v>
      </c>
      <c r="G8" s="25">
        <v>1.24</v>
      </c>
      <c r="H8" s="57">
        <f>([QTDE] * [PREÇO COMPRA]) + ([QTDE] * [PREÇO VENDA])</f>
        <v>3200</v>
      </c>
      <c r="I8" s="57">
        <f>[PREÇO VENDA]-[PREÇO COMPRA]</f>
        <v>0.72</v>
      </c>
      <c r="J8" s="57">
        <f>(0.01 - [PREÇO COMPRA]) + ([PREÇO VENDA] - ([EXERC. COMPRA]-[EXERC. VENDA]+0.01))</f>
        <v>-0.28000000000000003</v>
      </c>
      <c r="K8" s="58">
        <f>ROUNDDOWN([RISCO]/ABS([PERDA P/ OPÇÃO]), 0)</f>
        <v>1071</v>
      </c>
      <c r="L8" s="58">
        <f>[QTDE TMP] - MOD([QTDE TMP], 100)</f>
        <v>1000</v>
      </c>
      <c r="M8" s="57">
        <f>([QTDE]*[LUCRO P/ OPÇÃO])</f>
        <v>720</v>
      </c>
      <c r="N8" s="57">
        <f>[QTDE]*[PERDA P/ OPÇÃO]</f>
        <v>-280</v>
      </c>
      <c r="O8" s="59">
        <f>[EXERC. VENDA]/[PREÇO AÇÃO]-1</f>
        <v>-7.9504388229220568E-2</v>
      </c>
      <c r="P8" s="60">
        <f>[LUCRO*]/ABS([PERDA*])</f>
        <v>2.5714285714285716</v>
      </c>
    </row>
    <row r="9" spans="1:16">
      <c r="A9" s="41" t="s">
        <v>15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1"/>
      <c r="P9" s="4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V6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2" sqref="B2"/>
    </sheetView>
  </sheetViews>
  <sheetFormatPr defaultColWidth="11.5703125" defaultRowHeight="11.25"/>
  <cols>
    <col min="1" max="1" width="7.42578125" style="7" bestFit="1" customWidth="1"/>
    <col min="2" max="2" width="9.85546875" style="25" bestFit="1" customWidth="1"/>
    <col min="3" max="3" width="9.5703125" style="25" bestFit="1" customWidth="1"/>
    <col min="4" max="4" width="9.28515625" style="25" bestFit="1" customWidth="1"/>
    <col min="5" max="5" width="9.85546875" style="7" bestFit="1" customWidth="1"/>
    <col min="6" max="6" width="8.42578125" style="7" bestFit="1" customWidth="1"/>
    <col min="7" max="7" width="8.140625" style="7" bestFit="1" customWidth="1"/>
    <col min="8" max="8" width="9.28515625" style="7" bestFit="1" customWidth="1"/>
    <col min="9" max="9" width="9" style="7" bestFit="1" customWidth="1"/>
    <col min="10" max="10" width="11.5703125" style="7" bestFit="1" customWidth="1"/>
    <col min="11" max="12" width="9.7109375" style="7" hidden="1" customWidth="1"/>
    <col min="13" max="13" width="8.42578125" style="7" bestFit="1" customWidth="1"/>
    <col min="14" max="14" width="11" style="7" hidden="1" customWidth="1"/>
    <col min="15" max="15" width="7.7109375" style="7" bestFit="1" customWidth="1"/>
    <col min="16" max="18" width="9.85546875" style="7" bestFit="1" customWidth="1"/>
    <col min="19" max="19" width="9.140625" style="7" bestFit="1" customWidth="1"/>
    <col min="20" max="20" width="8.42578125" style="7" bestFit="1" customWidth="1"/>
    <col min="21" max="22" width="9.7109375" style="7" bestFit="1" customWidth="1"/>
    <col min="23" max="16384" width="11.5703125" style="7"/>
  </cols>
  <sheetData>
    <row r="1" spans="1:22">
      <c r="A1" s="24" t="s">
        <v>61</v>
      </c>
      <c r="B1" s="24" t="s">
        <v>99</v>
      </c>
      <c r="C1" s="24" t="s">
        <v>100</v>
      </c>
      <c r="D1" s="26" t="s">
        <v>101</v>
      </c>
      <c r="E1" s="26" t="s">
        <v>102</v>
      </c>
      <c r="F1" s="26" t="s">
        <v>103</v>
      </c>
      <c r="G1" s="26" t="s">
        <v>104</v>
      </c>
      <c r="H1" s="26" t="s">
        <v>105</v>
      </c>
      <c r="I1" s="26" t="s">
        <v>106</v>
      </c>
      <c r="J1" s="26" t="s">
        <v>95</v>
      </c>
      <c r="K1" s="26" t="s">
        <v>96</v>
      </c>
      <c r="L1" s="26" t="s">
        <v>97</v>
      </c>
      <c r="M1" s="26" t="s">
        <v>111</v>
      </c>
      <c r="N1" s="26" t="s">
        <v>69</v>
      </c>
      <c r="O1" s="26" t="s">
        <v>1</v>
      </c>
      <c r="P1" s="26" t="s">
        <v>110</v>
      </c>
      <c r="Q1" s="26" t="s">
        <v>108</v>
      </c>
      <c r="R1" s="26" t="s">
        <v>107</v>
      </c>
      <c r="S1" s="26" t="s">
        <v>87</v>
      </c>
      <c r="T1" s="26" t="s">
        <v>88</v>
      </c>
      <c r="U1" s="26" t="s">
        <v>94</v>
      </c>
      <c r="V1" s="26" t="s">
        <v>84</v>
      </c>
    </row>
    <row r="2" spans="1:22">
      <c r="A2" s="7" t="s">
        <v>89</v>
      </c>
      <c r="B2" s="25">
        <v>100</v>
      </c>
      <c r="C2" s="25">
        <v>37.75</v>
      </c>
      <c r="D2" s="25">
        <v>36.090000000000003</v>
      </c>
      <c r="E2" s="25">
        <v>1.67</v>
      </c>
      <c r="F2" s="25">
        <v>37.090000000000003</v>
      </c>
      <c r="G2" s="25">
        <v>1.02</v>
      </c>
      <c r="H2" s="25">
        <v>38.090000000000003</v>
      </c>
      <c r="I2" s="25">
        <v>0.5</v>
      </c>
      <c r="J2" s="25">
        <f>(([PR VD] - 0.01) * 2) + (([EX. VD] - [EX. CP 1] + 0.01) - [PR CP 1]) + (0.01 - [PR CP 2])</f>
        <v>0.87000000000000011</v>
      </c>
      <c r="K2" s="25">
        <f>(0.01 - [PR CP 1]) + (([PR VD] - 0.01) * 2) + (0.01 - [PR CP 2])</f>
        <v>-0.12999999999999989</v>
      </c>
      <c r="L2" s="25">
        <f>(([EX. CP 2] - [EX. CP 1] + 0.01) - [PR CP 1]) + (([PR VD] - ([EX. CP 2] - [EX. VD] + 0.01)) * 2) + (0.01 - [PR CP 2])</f>
        <v>-0.13000000000000012</v>
      </c>
      <c r="M2" s="25">
        <f>IF([PERDA 1] &gt; [PERDA 2], [PERDA 2], [PERDA 1])</f>
        <v>-0.12999999999999989</v>
      </c>
      <c r="N2" s="28">
        <f>ROUNDDOWN([BASE]/ABS([PERDA]), 0)</f>
        <v>769</v>
      </c>
      <c r="O2" s="28">
        <f>[QTDE TMP] - MOD([QTDE TMP], 100)</f>
        <v>700</v>
      </c>
      <c r="P2" s="28">
        <f>Tabela245[[#This Row],[QTDE]]*2</f>
        <v>1400</v>
      </c>
      <c r="Q2" s="25">
        <f>-([QTDE]*[PR CP 1] + [QTDE]*[PR CP 2])</f>
        <v>-1519</v>
      </c>
      <c r="R2" s="25">
        <f>[QTDE]*[PR VD] * 2</f>
        <v>1428</v>
      </c>
      <c r="S2" s="40">
        <f>([QTDE]*[LUCRO UNI.] - 90)</f>
        <v>519.00000000000011</v>
      </c>
      <c r="T2" s="25">
        <f>[QTDE]*[PERDA] - 90</f>
        <v>-180.99999999999994</v>
      </c>
      <c r="U2" s="27">
        <f>[EX. VD] / [PR. AÇÃO] - 1</f>
        <v>-1.7483443708609214E-2</v>
      </c>
      <c r="V2" s="39">
        <f>[LUCRO*]/ABS([PERDA*])</f>
        <v>2.8674033149171287</v>
      </c>
    </row>
    <row r="3" spans="1:22">
      <c r="A3" s="7" t="s">
        <v>15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46"/>
      <c r="Q3" s="29"/>
      <c r="R3" s="29"/>
      <c r="S3" s="29"/>
      <c r="T3" s="29"/>
    </row>
    <row r="4" spans="1:22">
      <c r="E4" s="23"/>
    </row>
    <row r="5" spans="1:22">
      <c r="E5" s="23"/>
    </row>
    <row r="6" spans="1:22">
      <c r="E6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O5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26" sqref="F26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6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61</v>
      </c>
      <c r="B1" s="24" t="s">
        <v>116</v>
      </c>
      <c r="C1" s="24" t="s">
        <v>64</v>
      </c>
      <c r="D1" s="26" t="s">
        <v>119</v>
      </c>
      <c r="E1" s="26" t="s">
        <v>118</v>
      </c>
      <c r="F1" s="26" t="s">
        <v>117</v>
      </c>
      <c r="G1" s="63" t="s">
        <v>1</v>
      </c>
      <c r="H1" s="26" t="s">
        <v>81</v>
      </c>
      <c r="I1" s="26" t="s">
        <v>121</v>
      </c>
      <c r="J1" s="26" t="s">
        <v>122</v>
      </c>
      <c r="K1" s="26" t="s">
        <v>120</v>
      </c>
      <c r="L1" s="26" t="s">
        <v>87</v>
      </c>
      <c r="M1" s="26" t="s">
        <v>88</v>
      </c>
      <c r="N1" s="26" t="s">
        <v>83</v>
      </c>
      <c r="O1" s="26" t="s">
        <v>84</v>
      </c>
    </row>
    <row r="2" spans="1:15">
      <c r="A2" s="7" t="s">
        <v>89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64">
        <v>800</v>
      </c>
      <c r="H2" s="25">
        <f>-[RISCO]/[QTDE]</f>
        <v>-0.375</v>
      </c>
      <c r="I2" s="25">
        <f>[PR COMPRA] * [QTDE]</f>
        <v>400</v>
      </c>
      <c r="J2" s="25">
        <f>[PR VENDA]-[PR COMPRA]</f>
        <v>0.625</v>
      </c>
      <c r="K2" s="25">
        <f>[PERDA P/ OPÇÃO] + ([EX. COMPRA] - [EX. VENDA] + 0.01) - 0.01 + [PR COMPRA]</f>
        <v>1.125</v>
      </c>
      <c r="L2" s="25">
        <f>([QTDE]*[LUCRO UNI])</f>
        <v>500</v>
      </c>
      <c r="M2" s="25">
        <f>[PERDA P/ OPÇÃO]*[QTDE]</f>
        <v>-300</v>
      </c>
      <c r="N2" s="27">
        <f>[EX. VENDA]/[PREÇO AÇÃO]-1</f>
        <v>0.90205128205128227</v>
      </c>
      <c r="O2" s="39">
        <f>[LUCRO*]/ABS([PERDA*])</f>
        <v>1.6666666666666667</v>
      </c>
    </row>
    <row r="3" spans="1:15">
      <c r="A3" s="55" t="s">
        <v>75</v>
      </c>
      <c r="B3" s="56">
        <v>300</v>
      </c>
      <c r="C3" s="56">
        <v>20.25</v>
      </c>
      <c r="D3" s="56">
        <v>19.829999999999998</v>
      </c>
      <c r="E3" s="56">
        <v>20.71</v>
      </c>
      <c r="F3" s="56">
        <v>0.4</v>
      </c>
      <c r="G3" s="68">
        <v>1500</v>
      </c>
      <c r="H3" s="57">
        <f>-[RISCO]/[QTDE]</f>
        <v>-0.2</v>
      </c>
      <c r="I3" s="57">
        <f>[PR COMPRA] * [QTDE]</f>
        <v>600</v>
      </c>
      <c r="J3" s="69">
        <f>[PR VENDA]-[PR COMPRA]</f>
        <v>0.68000000000000271</v>
      </c>
      <c r="K3" s="57">
        <f>[PERDA P/ OPÇÃO] + ([EX. COMPRA] - [EX. VENDA] + 0.01) - 0.01 + [PR COMPRA]</f>
        <v>1.0800000000000027</v>
      </c>
      <c r="L3" s="57">
        <f>([QTDE]*[LUCRO UNI])</f>
        <v>1020.0000000000041</v>
      </c>
      <c r="M3" s="57">
        <f>[PERDA P/ OPÇÃO]*[QTDE]</f>
        <v>-300</v>
      </c>
      <c r="N3" s="59">
        <f>[EX. VENDA]/[PREÇO AÇÃO]-1</f>
        <v>-2.0740740740740837E-2</v>
      </c>
      <c r="O3" s="60">
        <f>[LUCRO*]/ABS([PERDA*])</f>
        <v>3.4000000000000137</v>
      </c>
    </row>
    <row r="4" spans="1:15">
      <c r="A4" s="55" t="s">
        <v>75</v>
      </c>
      <c r="B4" s="56">
        <v>300</v>
      </c>
      <c r="C4" s="56">
        <v>20.25</v>
      </c>
      <c r="D4" s="56">
        <v>18.829999999999998</v>
      </c>
      <c r="E4" s="56">
        <v>20.71</v>
      </c>
      <c r="F4" s="56">
        <v>0.45</v>
      </c>
      <c r="G4" s="68">
        <v>500</v>
      </c>
      <c r="H4" s="57">
        <f>-[RISCO]/[QTDE]</f>
        <v>-0.6</v>
      </c>
      <c r="I4" s="57">
        <f>[PR COMPRA] * [QTDE]</f>
        <v>225</v>
      </c>
      <c r="J4" s="69">
        <f>[PR VENDA]-[PR COMPRA]</f>
        <v>1.2800000000000027</v>
      </c>
      <c r="K4" s="57">
        <f>[PERDA P/ OPÇÃO] + ([EX. COMPRA] - [EX. VENDA] + 0.01) - 0.01 + [PR COMPRA]</f>
        <v>1.7300000000000026</v>
      </c>
      <c r="L4" s="57">
        <f>([QTDE]*[LUCRO UNI])</f>
        <v>640.00000000000136</v>
      </c>
      <c r="M4" s="57">
        <f>[PERDA P/ OPÇÃO]*[QTDE]</f>
        <v>-300</v>
      </c>
      <c r="N4" s="59">
        <f>[EX. VENDA]/[PREÇO AÇÃO]-1</f>
        <v>-7.0123456790123551E-2</v>
      </c>
      <c r="O4" s="60">
        <f>[LUCRO*]/ABS([PERDA*])</f>
        <v>2.1333333333333377</v>
      </c>
    </row>
    <row r="5" spans="1:15">
      <c r="A5" s="41" t="s">
        <v>15</v>
      </c>
      <c r="B5" s="46"/>
      <c r="C5" s="46"/>
      <c r="D5" s="46"/>
      <c r="E5" s="46"/>
      <c r="F5" s="46"/>
      <c r="G5" s="65"/>
      <c r="H5" s="46"/>
      <c r="I5" s="67"/>
      <c r="J5" s="46"/>
      <c r="K5" s="46"/>
      <c r="L5" s="46"/>
      <c r="M5" s="46"/>
      <c r="N5" s="41"/>
      <c r="O5" s="4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J2" sqref="J2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6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61</v>
      </c>
      <c r="B1" s="24" t="s">
        <v>116</v>
      </c>
      <c r="C1" s="24" t="s">
        <v>64</v>
      </c>
      <c r="D1" s="26" t="s">
        <v>119</v>
      </c>
      <c r="E1" s="26" t="s">
        <v>118</v>
      </c>
      <c r="F1" s="26" t="s">
        <v>120</v>
      </c>
      <c r="G1" s="26" t="s">
        <v>117</v>
      </c>
      <c r="H1" s="63" t="s">
        <v>1</v>
      </c>
      <c r="I1" s="26" t="s">
        <v>81</v>
      </c>
      <c r="J1" s="26" t="s">
        <v>127</v>
      </c>
      <c r="K1" s="26" t="s">
        <v>122</v>
      </c>
      <c r="L1" s="26" t="s">
        <v>87</v>
      </c>
      <c r="M1" s="26" t="s">
        <v>88</v>
      </c>
      <c r="N1" s="26" t="s">
        <v>83</v>
      </c>
      <c r="O1" s="26" t="s">
        <v>84</v>
      </c>
    </row>
    <row r="2" spans="1:15">
      <c r="A2" s="7" t="s">
        <v>89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64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9">
        <f>[LUCRO*]/ABS([PERDA*])</f>
        <v>1</v>
      </c>
    </row>
    <row r="3" spans="1:15">
      <c r="A3" s="55" t="s">
        <v>75</v>
      </c>
      <c r="B3" s="56">
        <v>300</v>
      </c>
      <c r="C3" s="56">
        <v>20.25</v>
      </c>
      <c r="D3" s="56">
        <v>19.829999999999998</v>
      </c>
      <c r="E3" s="56">
        <v>20.71</v>
      </c>
      <c r="F3" s="56">
        <v>0.95</v>
      </c>
      <c r="G3" s="56">
        <v>0.4</v>
      </c>
      <c r="H3" s="68">
        <v>1000</v>
      </c>
      <c r="I3" s="57">
        <f>([PR VENDA] - ([EX. COMPRA] - [EX. VENDA] + 0.01)) + (0.01 - ([PR COMPRA]))</f>
        <v>-0.33000000000000262</v>
      </c>
      <c r="J3" s="57">
        <f>[PR COMPRA] * [QTDE]</f>
        <v>400</v>
      </c>
      <c r="K3" s="69">
        <f>[PR VENDA]-[PR COMPRA]</f>
        <v>0.54999999999999993</v>
      </c>
      <c r="L3" s="57">
        <f>([QTDE]*[LUCRO UNI])</f>
        <v>549.99999999999989</v>
      </c>
      <c r="M3" s="57">
        <f>[PERDA P/ OPÇÃO]*[QTDE]</f>
        <v>-330.00000000000261</v>
      </c>
      <c r="N3" s="59">
        <f>[EX. VENDA]/[PREÇO AÇÃO]-1</f>
        <v>-2.0740740740740837E-2</v>
      </c>
      <c r="O3" s="60">
        <f>[LUCRO*]/ABS([PERDA*])</f>
        <v>1.6666666666666532</v>
      </c>
    </row>
    <row r="4" spans="1:15">
      <c r="A4" s="55" t="s">
        <v>75</v>
      </c>
      <c r="B4" s="56">
        <v>300</v>
      </c>
      <c r="C4" s="56">
        <v>20.25</v>
      </c>
      <c r="D4" s="56">
        <v>18.829999999999998</v>
      </c>
      <c r="E4" s="56">
        <v>20.71</v>
      </c>
      <c r="F4" s="56">
        <v>1.66</v>
      </c>
      <c r="G4" s="56">
        <v>0.4</v>
      </c>
      <c r="H4" s="68">
        <v>500</v>
      </c>
      <c r="I4" s="57">
        <f>([PR VENDA] - ([EX. COMPRA] - [EX. VENDA] + 0.01)) + (0.01 - ([PR COMPRA]))</f>
        <v>-0.62000000000000266</v>
      </c>
      <c r="J4" s="57">
        <f>[PR COMPRA] * [QTDE]</f>
        <v>200</v>
      </c>
      <c r="K4" s="69">
        <f>[PR VENDA]-[PR COMPRA]</f>
        <v>1.2599999999999998</v>
      </c>
      <c r="L4" s="57">
        <f>([QTDE]*[LUCRO UNI])</f>
        <v>629.99999999999989</v>
      </c>
      <c r="M4" s="57">
        <f>[PERDA P/ OPÇÃO]*[QTDE]</f>
        <v>-310.00000000000131</v>
      </c>
      <c r="N4" s="59">
        <f>[EX. VENDA]/[PREÇO AÇÃO]-1</f>
        <v>-7.0123456790123551E-2</v>
      </c>
      <c r="O4" s="60">
        <f>[LUCRO*]/ABS([PERDA*])</f>
        <v>2.0322580645161201</v>
      </c>
    </row>
    <row r="5" spans="1:15">
      <c r="A5" s="55" t="s">
        <v>75</v>
      </c>
      <c r="B5" s="56">
        <v>300</v>
      </c>
      <c r="C5" s="56">
        <v>19.37</v>
      </c>
      <c r="D5" s="56">
        <v>17.829999999999998</v>
      </c>
      <c r="E5" s="56">
        <v>18.829999999999998</v>
      </c>
      <c r="F5" s="56">
        <v>1.96</v>
      </c>
      <c r="G5" s="56">
        <v>1.24</v>
      </c>
      <c r="H5" s="68">
        <v>1000</v>
      </c>
      <c r="I5" s="57">
        <f>([PR VENDA] - ([EX. COMPRA] - [EX. VENDA] + 0.01)) + (0.01 - ([PR COMPRA]))</f>
        <v>-0.28000000000000003</v>
      </c>
      <c r="J5" s="57">
        <f>[PR COMPRA] * [QTDE]</f>
        <v>1240</v>
      </c>
      <c r="K5" s="69">
        <f>[PR VENDA]-[PR COMPRA]</f>
        <v>0.72</v>
      </c>
      <c r="L5" s="57">
        <f>([QTDE]*[LUCRO UNI])</f>
        <v>720</v>
      </c>
      <c r="M5" s="57">
        <f>[PERDA P/ OPÇÃO]*[QTDE]</f>
        <v>-280</v>
      </c>
      <c r="N5" s="59">
        <f>[EX. VENDA]/[PREÇO AÇÃO]-1</f>
        <v>-7.9504388229220568E-2</v>
      </c>
      <c r="O5" s="60">
        <f>[LUCRO*]/ABS([PERDA*])</f>
        <v>2.5714285714285716</v>
      </c>
    </row>
    <row r="6" spans="1:15">
      <c r="A6" s="41" t="s">
        <v>15</v>
      </c>
      <c r="B6" s="46"/>
      <c r="C6" s="46"/>
      <c r="D6" s="46"/>
      <c r="E6" s="46"/>
      <c r="F6" s="46"/>
      <c r="G6" s="46"/>
      <c r="H6" s="65"/>
      <c r="I6" s="46"/>
      <c r="J6" s="67"/>
      <c r="K6" s="46"/>
      <c r="L6" s="46"/>
      <c r="M6" s="46"/>
      <c r="N6" s="41"/>
      <c r="O6" s="4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3"/>
  <dimension ref="A1:I7"/>
  <sheetViews>
    <sheetView workbookViewId="0">
      <selection activeCell="C7" sqref="C7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76" t="s">
        <v>7</v>
      </c>
      <c r="B1" s="76"/>
      <c r="C1" s="76" t="s">
        <v>8</v>
      </c>
      <c r="D1" s="76"/>
      <c r="E1" s="75" t="s">
        <v>9</v>
      </c>
      <c r="F1" s="75" t="s">
        <v>4</v>
      </c>
      <c r="G1" s="75" t="s">
        <v>10</v>
      </c>
      <c r="H1" s="75" t="s">
        <v>11</v>
      </c>
      <c r="I1" s="75" t="s">
        <v>23</v>
      </c>
    </row>
    <row r="2" spans="1:9">
      <c r="A2" s="3" t="s">
        <v>12</v>
      </c>
      <c r="B2" s="3" t="s">
        <v>13</v>
      </c>
      <c r="C2" s="3" t="s">
        <v>12</v>
      </c>
      <c r="D2" s="3" t="s">
        <v>13</v>
      </c>
      <c r="E2" s="75"/>
      <c r="F2" s="75"/>
      <c r="G2" s="75"/>
      <c r="H2" s="75"/>
      <c r="I2" s="75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</row>
    <row r="4" spans="1:9">
      <c r="A4" s="74" t="s">
        <v>26</v>
      </c>
      <c r="B4" s="74"/>
      <c r="C4" s="74"/>
      <c r="D4" s="74"/>
      <c r="E4" s="74"/>
      <c r="F4" s="74"/>
    </row>
    <row r="5" spans="1:9">
      <c r="A5" s="74" t="s">
        <v>7</v>
      </c>
      <c r="B5" s="74"/>
      <c r="C5" s="74"/>
      <c r="D5" s="74" t="s">
        <v>8</v>
      </c>
      <c r="E5" s="74"/>
      <c r="F5" s="74"/>
    </row>
    <row r="6" spans="1:9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NOTAS</vt:lpstr>
      <vt:lpstr>VOLAT-TENDENCIA</vt:lpstr>
      <vt:lpstr>TRAVA BAIXA</vt:lpstr>
      <vt:lpstr>BORBOLETA</vt:lpstr>
      <vt:lpstr>TRAVA BAIXA NEW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2012-05-28T19:14:09Z</dcterms:modified>
</cp:coreProperties>
</file>