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I4" i="4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71" l="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71" i="1" l="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71" i="1" l="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72"/>
  <c r="G7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70" l="1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AJ70" l="1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72"/>
  <c r="Y2" l="1"/>
  <c r="Z70" l="1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68" l="1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70" l="1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72"/>
  <c r="J72" s="1"/>
  <c r="AI30"/>
  <c r="AH30"/>
  <c r="AH20"/>
  <c r="AI20"/>
  <c r="AH70" l="1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<sst xmlns="http://schemas.openxmlformats.org/spreadsheetml/2006/main" count="385" uniqueCount="138">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</sst>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72" totalsRowCount="1" headerRowDxfId="271" dataDxfId="270" totalsRowDxfId="269">
  <autoFilter ref="A1:AJ71">
    <filterColumn colId="7"/>
    <filterColumn colId="8"/>
    <filterColumn colId="18"/>
    <filterColumn colId="35"/>
  </autoFilter>
  <sortState ref="A2:AJ69">
    <sortCondition ref="E1:E69"/>
  </sortState>
  <tableColumns count="36">
    <tableColumn id="19" name="ID" totalsRowFunction="max" dataDxfId="268" totalsRowDxfId="51"/>
    <tableColumn id="36" name="U" dataDxfId="267" totalsRowDxfId="50"/>
    <tableColumn id="2" name="ATIVO" dataDxfId="266" totalsRowDxfId="49"/>
    <tableColumn id="3" name="T" dataDxfId="265" totalsRowDxfId="48"/>
    <tableColumn id="4" name="DATA" dataDxfId="264" totalsRowDxfId="47"/>
    <tableColumn id="5" name="QTDE" dataDxfId="263" totalsRowDxfId="46"/>
    <tableColumn id="6" name="PREÇO" totalsRowFunction="custom" dataDxfId="262" totalsRowDxfId="45">
      <totalsRowFormula>NC[[#Totals],[ID]]*14.9</totalsRowFormula>
    </tableColumn>
    <tableColumn id="37" name="PARCIAL" dataDxfId="261" totalsRowDxfId="44"/>
    <tableColumn id="40" name="AJUSTE" dataDxfId="260" totalsRowDxfId="43" dataCellStyle="Moeda"/>
    <tableColumn id="7" name="[D/N]" totalsRowFunction="custom" dataDxfId="259" totalsRowDxfId="42">
      <totalsRowFormula>NC[[#Totals],[LUCRO P/ OP]]+NC[[#Totals],[PREÇO]]</totalsRowFormula>
    </tableColumn>
    <tableColumn id="34" name="DATA DE LIQUIDAÇÃO" dataDxfId="258" totalsRowDxfId="41">
      <calculatedColumnFormula>WORKDAY(NC[[#This Row],[DATA]],1,0)</calculatedColumnFormula>
    </tableColumn>
    <tableColumn id="31" name="DATA BASE" dataDxfId="257" totalsRowDxfId="40">
      <calculatedColumnFormula>EOMONTH(NC[[#This Row],[DATA DE LIQUIDAÇÃO]],0)</calculatedColumnFormula>
    </tableColumn>
    <tableColumn id="21" name="PAR" dataDxfId="256" totalsRowDxfId="39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38">
      <calculatedColumnFormula>[QTDE]*[PREÇO]</calculatedColumnFormula>
    </tableColumn>
    <tableColumn id="9" name="VALOR LÍQUIDO DAS OPERAÇÕES" dataDxfId="254" totalsRowDxfId="37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36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35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34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33">
      <calculatedColumnFormula>SETUP!$E$3 * IF([PARCIAL] &gt; 0, [QTDE] / [PARCIAL], 1)</calculatedColumnFormula>
    </tableColumn>
    <tableColumn id="12" name="CORRETAGEM" dataDxfId="249" totalsRowDxfId="32">
      <calculatedColumnFormula>SUMPRODUCT(N([DATA]=NC[[#This Row],[DATA]]),N([ID]&lt;=NC[[#This Row],[ID]]), [CORR])</calculatedColumnFormula>
    </tableColumn>
    <tableColumn id="13" name="ISS" dataDxfId="248" totalsRowDxfId="31">
      <calculatedColumnFormula>TRUNC([CORRETAGEM]*SETUP!$F$3,2)</calculatedColumnFormula>
    </tableColumn>
    <tableColumn id="15" name="OUTRAS BOVESPA" dataDxfId="247" totalsRowDxfId="30">
      <calculatedColumnFormula>ROUND([CORRETAGEM]*SETUP!$G$3,2)</calculatedColumnFormula>
    </tableColumn>
    <tableColumn id="16" name="LÍQUIDO BASE" dataDxfId="246" totalsRowDxfId="29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5" totalsRowDxfId="28">
      <calculatedColumnFormula>IF(AND(['[D/N']]="D",    [T]="CV",    [LÍQUIDO BASE] &gt; 0),    TRUNC([LÍQUIDO BASE]*0.01, 2),    0)</calculatedColumnFormula>
    </tableColumn>
    <tableColumn id="35" name="LÍQUIDO" dataDxfId="244" totalsRowDxfId="27">
      <calculatedColumnFormula>IF([PREÇO] &gt; 0,    [LÍQUIDO BASE]-SUMPRODUCT(N([DATA]=NC[[#This Row],[DATA]]),    [IRRF FONTE]),    0)</calculatedColumnFormula>
    </tableColumn>
    <tableColumn id="17" name="VALOR OP" dataDxfId="243" totalsRowDxfId="26" dataCellStyle="Moeda">
      <calculatedColumnFormula>[LÍQUIDO]-SUMPRODUCT(N([DATA]=NC[[#This Row],[DATA]]),N([ID]=(NC[[#This Row],[ID]]-1)),[LÍQUIDO])</calculatedColumnFormula>
    </tableColumn>
    <tableColumn id="18" name="MEDIO P/ OP" dataDxfId="242" totalsRowDxfId="25">
      <calculatedColumnFormula>IF([T] = "VC", ABS([VALOR OP]) / [QTDE], [VALOR OP]/[QTDE])</calculatedColumnFormula>
    </tableColumn>
    <tableColumn id="20" name="IRRF" totalsRowFunction="sum" dataDxfId="241" totalsRowDxfId="24">
      <calculatedColumnFormula>TRUNC(IF(OR([T]="CV",[T]="VV"),     N2*SETUP!$H$3,     0),2)</calculatedColumnFormula>
    </tableColumn>
    <tableColumn id="24" name="SALDO" dataDxfId="240" totalsRowDxfId="23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39" totalsRowDxfId="22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8" totalsRowDxfId="21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7" totalsRowDxfId="2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6" totalsRowDxfId="19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5" totalsRowDxfId="18">
      <calculatedColumnFormula>IF([U] = "U", SUMPRODUCT(N([ID]&lt;=NC[[#This Row],[ID]]),N([DATA BASE]=NC[[#This Row],[DATA BASE]]), N(['[D/N']] = "N"),    [LUCRO P/ OP]), 0)</calculatedColumnFormula>
    </tableColumn>
    <tableColumn id="39" name="LUCRO [D]" dataDxfId="234" totalsRowDxfId="17">
      <calculatedColumnFormula>IF([U] = "U", SUMPRODUCT(N([DATA BASE]=NC[[#This Row],[DATA BASE]]), N(['[D/N']] = "D"),    [LUCRO P/ OP]), 0)</calculatedColumnFormula>
    </tableColumn>
    <tableColumn id="30" name="IRRF DT" dataDxfId="233" totalsRowDxfId="16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2" dataDxfId="231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0" totalsRowDxfId="229"/>
    <tableColumn id="2" name="LUCRO [N]" dataDxfId="228" totalsRowDxfId="227" dataCellStyle="Moeda"/>
    <tableColumn id="3" name="DEDUÇÃO [N]" dataDxfId="226" totalsRowDxfId="225" dataCellStyle="Moeda"/>
    <tableColumn id="8" name="IRRF [N]" dataDxfId="224" totalsRowDxfId="223" dataCellStyle="Moeda"/>
    <tableColumn id="4" name="LUCRO [D]" dataDxfId="222" totalsRowDxfId="221" dataCellStyle="Moeda"/>
    <tableColumn id="5" name="DEDUÇÃO [D]" dataDxfId="220" totalsRowDxfId="219" dataCellStyle="Moeda"/>
    <tableColumn id="9" name="IRRF [D]" dataDxfId="218" totalsRowDxfId="217" dataCellStyle="Moeda"/>
    <tableColumn id="6" name="ACC [N]" dataDxfId="216" totalsRowDxfId="215" dataCellStyle="Moeda">
      <calculatedColumnFormula>IF([LUCRO '[N']] + [DEDUÇÃO '[N']] &gt; 0, 0, [LUCRO '[N']] + [DEDUÇÃO '[N']])</calculatedColumnFormula>
    </tableColumn>
    <tableColumn id="12" name="ACC [D]" dataDxfId="214" totalsRowDxfId="213" dataCellStyle="Moeda">
      <calculatedColumnFormula>IF([LUCRO '[D']] + [DEDUÇÃO '[D']] &gt; 0, 0, [LUCRO '[D']] + [DEDUÇÃO '[D']])</calculatedColumnFormula>
    </tableColumn>
    <tableColumn id="7" name="IR DEVIDO [N]" dataDxfId="212" totalsRowDxfId="211" dataCellStyle="Moeda">
      <calculatedColumnFormula>IF([ACC '[N']] = 0, ROUND(([LUCRO '[N']] + [DEDUÇÃO '[N']]) * 15%, 2) - [IRRF '[N']], 0)</calculatedColumnFormula>
    </tableColumn>
    <tableColumn id="10" name="IR DEVIDO [D]" dataDxfId="210" totalsRowDxfId="209" dataCellStyle="Moeda">
      <calculatedColumnFormula>IF([ACC '[D']] = 0, ROUND(([LUCRO '[D']] + [DEDUÇÃO '[D']]) * 20%, 2) - [IRRF '[D']], 0)</calculatedColumnFormula>
    </tableColumn>
    <tableColumn id="14" name="IRRF" dataDxfId="208" totalsRowDxfId="207" dataCellStyle="Moeda">
      <calculatedColumnFormula>[IRRF '[N']] + [IRRF '[D']]</calculatedColumnFormula>
    </tableColumn>
    <tableColumn id="11" name="IR DEVIDO" dataDxfId="206" totalsRowDxfId="205" dataCellStyle="Moeda">
      <calculatedColumnFormula>[IR DEVIDO '[N']] + [IR DEVIDO '[D']]</calculatedColumnFormula>
    </tableColumn>
    <tableColumn id="13" name="LUCRO TOTAL" totalsRowFunction="sum" dataDxfId="204" totalsRowDxfId="203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2" dataDxfId="201">
  <autoFilter ref="A1:K4">
    <filterColumn colId="10"/>
  </autoFilter>
  <tableColumns count="11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/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  <tableColumn id="7" name="GORDURA" dataDxfId="180" totalsRowDxfId="17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5" totalsRowCount="1" headerRowDxfId="178" dataDxfId="177">
  <autoFilter ref="A1:P4"/>
  <tableColumns count="16">
    <tableColumn id="1" name="PAPEL" totalsRowLabel="Total" dataDxfId="176" totalsRowDxfId="15"/>
    <tableColumn id="10" name="RISCO" dataDxfId="175" totalsRowDxfId="14" dataCellStyle="Moeda"/>
    <tableColumn id="20" name="PREÇO AÇÃO" dataDxfId="174" totalsRowDxfId="13" dataCellStyle="Moeda"/>
    <tableColumn id="7" name="EXERC. VENDA" dataDxfId="173" totalsRowDxfId="12" dataCellStyle="Moeda"/>
    <tableColumn id="8" name="PREÇO VENDA" dataDxfId="172" totalsRowDxfId="11" dataCellStyle="Moeda"/>
    <tableColumn id="2" name="EXERC. COMPRA" dataDxfId="171" totalsRowDxfId="10" dataCellStyle="Moeda"/>
    <tableColumn id="3" name="PREÇO COMPRA" dataDxfId="170" totalsRowDxfId="9" dataCellStyle="Moeda"/>
    <tableColumn id="4" name="VOLUME" dataDxfId="169" totalsRowDxfId="8" dataCellStyle="Moeda">
      <calculatedColumnFormula>([QTDE] * [PREÇO COMPRA]) + ([QTDE] * [PREÇO VENDA])</calculatedColumnFormula>
    </tableColumn>
    <tableColumn id="18" name="LUCRO P/ OPÇÃO" dataDxfId="168" totalsRowDxfId="7" dataCellStyle="Moeda">
      <calculatedColumnFormula>[PREÇO VENDA]-[PREÇO COMPRA]</calculatedColumnFormula>
    </tableColumn>
    <tableColumn id="19" name="PERDA P/ OPÇÃO" dataDxfId="167" totalsRowDxfId="6" dataCellStyle="Moeda">
      <calculatedColumnFormula>(0.01 - [PREÇO COMPRA]) + ([PREÇO VENDA] - ([EXERC. COMPRA]-[EXERC. VENDA]+0.01))</calculatedColumnFormula>
    </tableColumn>
    <tableColumn id="11" name="QTDE TMP" dataDxfId="166" totalsRowDxfId="5" dataCellStyle="Moeda">
      <calculatedColumnFormula>ROUNDDOWN([RISCO]/ABS([PERDA P/ OPÇÃO]), 0)</calculatedColumnFormula>
    </tableColumn>
    <tableColumn id="14" name="QTDE" dataDxfId="165" totalsRowDxfId="4" dataCellStyle="Moeda">
      <calculatedColumnFormula>[QTDE TMP] - MOD([QTDE TMP], 100)</calculatedColumnFormula>
    </tableColumn>
    <tableColumn id="5" name="LUCRO*" dataDxfId="164" totalsRowDxfId="3" dataCellStyle="Moeda">
      <calculatedColumnFormula>([QTDE]*[LUCRO P/ OPÇÃO]) - 60</calculatedColumnFormula>
    </tableColumn>
    <tableColumn id="6" name="PERDA*" dataDxfId="163" totalsRowDxfId="2" dataCellStyle="Moeda">
      <calculatedColumnFormula>[QTDE]*[PERDA P/ OPÇÃO] - 60</calculatedColumnFormula>
    </tableColumn>
    <tableColumn id="21" name="% QUEDA" dataDxfId="162" totalsRowDxfId="1" dataCellStyle="Porcentagem">
      <calculatedColumnFormula>[EXERC. VENDA]/[PREÇO AÇÃO]-1</calculatedColumnFormula>
    </tableColumn>
    <tableColumn id="22" name="RISCO : 1" dataDxfId="161" totalsRowDxfId="0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3" totalsRowCount="1" headerRowDxfId="160" dataDxfId="159">
  <autoFilter ref="A1:V2"/>
  <tableColumns count="22">
    <tableColumn id="1" name="PAPEL" totalsRowLabel="Total" dataDxfId="158" totalsRowDxfId="157"/>
    <tableColumn id="10" name="BASE" dataDxfId="156" totalsRowDxfId="155" dataCellStyle="Moeda"/>
    <tableColumn id="20" name="PR. AÇÃO" dataDxfId="154" totalsRowDxfId="153" dataCellStyle="Moeda"/>
    <tableColumn id="2" name="EX. CP 1" dataDxfId="152" totalsRowDxfId="151" dataCellStyle="Moeda"/>
    <tableColumn id="3" name="PR CP 1" dataDxfId="150" totalsRowDxfId="149" dataCellStyle="Moeda"/>
    <tableColumn id="12" name="EX. VD" dataDxfId="148" totalsRowDxfId="147" dataCellStyle="Moeda"/>
    <tableColumn id="13" name="PR VD" dataDxfId="146" totalsRowDxfId="145" dataCellStyle="Moeda"/>
    <tableColumn id="8" name="EX. CP 2" dataDxfId="144" totalsRowDxfId="143" dataCellStyle="Moeda"/>
    <tableColumn id="7" name="PR CP 2" dataDxfId="142" totalsRowDxfId="141" dataCellStyle="Moeda"/>
    <tableColumn id="18" name="LUCRO UNI." dataDxfId="140" totalsRowDxfId="139" dataCellStyle="Moeda">
      <calculatedColumnFormula>(([PR VD] - 0.01) * 2) + (([EX. VD] - [EX. CP 1] + 0.01) - [PR CP 1]) + (0.01 - [PR CP 2])</calculatedColumnFormula>
    </tableColumn>
    <tableColumn id="19" name="PERDA 1" dataDxfId="138" totalsRowDxfId="137" dataCellStyle="Moeda">
      <calculatedColumnFormula>(0.01 - [PR CP 1]) + (([PR VD] - 0.01) * 2) + (0.01 - [PR CP 2])</calculatedColumnFormula>
    </tableColumn>
    <tableColumn id="15" name="PERDA 2" dataDxfId="136" totalsRowDxfId="135" dataCellStyle="Moeda">
      <calculatedColumnFormula>(([EX. CP 2] - [EX. CP 1] + 0.01) - [PR CP 1]) + (([PR VD] - ([EX. CP 2] - [EX. VD] + 0.01)) * 2) + (0.01 - [PR CP 2])</calculatedColumnFormula>
    </tableColumn>
    <tableColumn id="16" name="PERDA" dataDxfId="134" totalsRowDxfId="133" dataCellStyle="Moeda">
      <calculatedColumnFormula>IF([PERDA 1] &gt; [PERDA 2], [PERDA 2], [PERDA 1])</calculatedColumnFormula>
    </tableColumn>
    <tableColumn id="11" name="QTDE TMP" dataDxfId="132" totalsRowDxfId="131" dataCellStyle="Moeda">
      <calculatedColumnFormula>ROUNDDOWN([BASE]/ABS([PERDA]), 0)</calculatedColumnFormula>
    </tableColumn>
    <tableColumn id="14" name="QTDE" dataDxfId="130" totalsRowDxfId="129" dataCellStyle="Moeda">
      <calculatedColumnFormula>[QTDE TMP] - MOD([QTDE TMP], 100)</calculatedColumnFormula>
    </tableColumn>
    <tableColumn id="4" name="QTDE VD" dataDxfId="128" totalsRowDxfId="127" dataCellStyle="Moeda">
      <calculatedColumnFormula>Tabela245[[#This Row],[QTDE]]*2</calculatedColumnFormula>
    </tableColumn>
    <tableColumn id="17" name="TOT.  CP" dataDxfId="126" totalsRowDxfId="125" dataCellStyle="Moeda">
      <calculatedColumnFormula>([QTDE]*[PR CP 1] + [QTDE]*[PR CP 2])</calculatedColumnFormula>
    </tableColumn>
    <tableColumn id="9" name="T. VD" dataDxfId="124" totalsRowDxfId="123" dataCellStyle="Moeda">
      <calculatedColumnFormula>[QTDE]*[PR VD] * 2</calculatedColumnFormula>
    </tableColumn>
    <tableColumn id="5" name="LUCRO*" dataDxfId="122" totalsRowDxfId="121" dataCellStyle="Moeda">
      <calculatedColumnFormula>([QTDE]*[LUCRO UNI.] - 90)</calculatedColumnFormula>
    </tableColumn>
    <tableColumn id="6" name="PERDA*" dataDxfId="120" totalsRowDxfId="119" dataCellStyle="Moeda">
      <calculatedColumnFormula>[QTDE]*[PERDA] - 90</calculatedColumnFormula>
    </tableColumn>
    <tableColumn id="21" name="% VAR" dataDxfId="118" totalsRowDxfId="117" dataCellStyle="Porcentagem">
      <calculatedColumnFormula>[EX. VD] / [PR. AÇÃO] - 1</calculatedColumnFormula>
    </tableColumn>
    <tableColumn id="22" name="RISCO : 1" dataDxfId="116" totalsRowDxfId="11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114" dataDxfId="113">
  <autoFilter ref="A1:O5"/>
  <tableColumns count="15">
    <tableColumn id="1" name="PAPEL" totalsRowLabel="Total" dataDxfId="112" totalsRowDxfId="111"/>
    <tableColumn id="10" name="RISCO" dataDxfId="110" totalsRowDxfId="109" dataCellStyle="Moeda"/>
    <tableColumn id="20" name="PREÇO AÇÃO" dataDxfId="108" totalsRowDxfId="107" dataCellStyle="Moeda"/>
    <tableColumn id="7" name="EX. VENDA" dataDxfId="106" totalsRowDxfId="105" dataCellStyle="Moeda"/>
    <tableColumn id="2" name="EX. COMPRA" dataDxfId="104" totalsRowDxfId="103" dataCellStyle="Moeda"/>
    <tableColumn id="3" name="PR COMPRA" dataDxfId="102" totalsRowDxfId="101" dataCellStyle="Moeda"/>
    <tableColumn id="16" name="QTDE" dataDxfId="100" totalsRowDxfId="99" dataCellStyle="Moeda"/>
    <tableColumn id="13" name="PERDA P/ OPÇÃO" dataDxfId="98" totalsRowDxfId="97" dataCellStyle="Moeda">
      <calculatedColumnFormula>-[RISCO]/[QTDE]</calculatedColumnFormula>
    </tableColumn>
    <tableColumn id="14" name="CUSTO CP" dataDxfId="96" totalsRowDxfId="95" dataCellStyle="Moeda">
      <calculatedColumnFormula>[PR COMPRA] * [QTDE]</calculatedColumnFormula>
    </tableColumn>
    <tableColumn id="15" name="LUCRO UNI" dataDxfId="94" totalsRowDxfId="93">
      <calculatedColumnFormula>[PR VENDA]-[PR COMPRA]</calculatedColumnFormula>
    </tableColumn>
    <tableColumn id="8" name="PR VENDA" dataDxfId="92" totalsRowDxfId="91" dataCellStyle="Moeda">
      <calculatedColumnFormula>[PERDA P/ OPÇÃO] + ([EX. COMPRA] - [EX. VENDA] + 0.01) - 0.01 + [PR COMPRA]</calculatedColumnFormula>
    </tableColumn>
    <tableColumn id="5" name="LUCRO*" dataDxfId="90" totalsRowDxfId="89" dataCellStyle="Moeda">
      <calculatedColumnFormula>([QTDE]*[LUCRO UNI])</calculatedColumnFormula>
    </tableColumn>
    <tableColumn id="6" name="PERDA*" dataDxfId="88" totalsRowDxfId="87" dataCellStyle="Moeda">
      <calculatedColumnFormula>[PERDA P/ OPÇÃO]*[QTDE]</calculatedColumnFormula>
    </tableColumn>
    <tableColumn id="21" name="% QUEDA" dataDxfId="86" totalsRowDxfId="85" dataCellStyle="Porcentagem">
      <calculatedColumnFormula>[EX. VENDA]/[PREÇO AÇÃO]-1</calculatedColumnFormula>
    </tableColumn>
    <tableColumn id="22" name="RISCO : 1" dataDxfId="84" totalsRowDxfId="8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82" dataDxfId="81">
  <autoFilter ref="A1:O5"/>
  <tableColumns count="15">
    <tableColumn id="1" name="PAPEL" totalsRowLabel="Total" dataDxfId="80" totalsRowDxfId="79"/>
    <tableColumn id="10" name="RISCO" dataDxfId="78" totalsRowDxfId="77" dataCellStyle="Moeda"/>
    <tableColumn id="20" name="PREÇO AÇÃO" dataDxfId="76" totalsRowDxfId="75" dataCellStyle="Moeda"/>
    <tableColumn id="7" name="EX. VENDA" dataDxfId="74" totalsRowDxfId="73" dataCellStyle="Moeda"/>
    <tableColumn id="2" name="EX. COMPRA" dataDxfId="72" totalsRowDxfId="71" dataCellStyle="Moeda"/>
    <tableColumn id="9" name="PR VENDA" totalsRowDxfId="70"/>
    <tableColumn id="3" name="PR COMPRA" dataDxfId="69" totalsRowDxfId="68" dataCellStyle="Moeda"/>
    <tableColumn id="16" name="QTDE" dataDxfId="67" totalsRowDxfId="66" dataCellStyle="Moeda"/>
    <tableColumn id="13" name="PERDA P/ OPÇÃO" dataDxfId="65" totalsRowDxfId="64" dataCellStyle="Moeda">
      <calculatedColumnFormula>([PR VENDA] - ([EX. COMPRA] - [EX. VENDA] + 0.01)) + (0.01 - ([PR COMPRA]))</calculatedColumnFormula>
    </tableColumn>
    <tableColumn id="14" name="VOLUME" dataDxfId="63" totalsRowDxfId="62" dataCellStyle="Moeda">
      <calculatedColumnFormula>[PR COMPRA] * [QTDE]</calculatedColumnFormula>
    </tableColumn>
    <tableColumn id="15" name="LUCRO UNI" dataDxfId="61" totalsRowDxfId="60">
      <calculatedColumnFormula>[PR VENDA]-[PR COMPRA]</calculatedColumnFormula>
    </tableColumn>
    <tableColumn id="5" name="LUCRO*" dataDxfId="59" totalsRowDxfId="58" dataCellStyle="Moeda">
      <calculatedColumnFormula>([QTDE]*[LUCRO UNI])</calculatedColumnFormula>
    </tableColumn>
    <tableColumn id="6" name="PERDA*" dataDxfId="57" totalsRowDxfId="56" dataCellStyle="Moeda">
      <calculatedColumnFormula>[PERDA P/ OPÇÃO]*[QTDE]</calculatedColumnFormula>
    </tableColumn>
    <tableColumn id="21" name="% QUEDA" dataDxfId="55" totalsRowDxfId="54" dataCellStyle="Porcentagem">
      <calculatedColumnFormula>[EX. VENDA]/[PREÇO AÇÃO]-1</calculatedColumnFormula>
    </tableColumn>
    <tableColumn id="22" name="RISCO : 1" dataDxfId="53" totalsRowDxfId="52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73"/>
  <sheetViews>
    <sheetView tabSelected="1" workbookViewId="0">
      <pane xSplit="10" ySplit="1" topLeftCell="K47" activePane="bottomRight" state="frozen"/>
      <selection pane="topRight" activeCell="K1" sqref="K1"/>
      <selection pane="bottomLeft" activeCell="A2" sqref="A2"/>
      <selection pane="bottomRight" activeCell="AB59" sqref="AB59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9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 t="s">
        <v>49</v>
      </c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-895.2099999999989</v>
      </c>
      <c r="AI71" s="87">
        <f>IF([U] = "U", SUMPRODUCT(N([DATA BASE]=NC[[#This Row],[DATA BASE]]), N(['[D/N']] = "D"),    [LUCRO P/ OP]), 0)</f>
        <v>-30.590000000000014</v>
      </c>
      <c r="AJ71" s="87">
        <f>IF([U] = "U", SUMPRODUCT(N([DATA BASE]=NC[[#This Row],[DATA BASE]]), N(['[D/N']] = "D"),    [IRRF FONTE]), 0)</f>
        <v>0</v>
      </c>
    </row>
    <row r="72" spans="1:36">
      <c r="A72" s="98">
        <f>SUBTOTAL(104,[ID])</f>
        <v>70</v>
      </c>
      <c r="B72" s="98"/>
      <c r="C72" s="98"/>
      <c r="D72" s="98"/>
      <c r="E72" s="98"/>
      <c r="F72" s="98"/>
      <c r="G72" s="98">
        <f>NC[[#Totals],[ID]]*14.9</f>
        <v>1043</v>
      </c>
      <c r="H72" s="96"/>
      <c r="I72" s="87"/>
      <c r="J72" s="98">
        <f>NC[[#Totals],[LUCRO P/ OP]]+NC[[#Totals],[PREÇO]]</f>
        <v>800.55000000000177</v>
      </c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87"/>
      <c r="X72" s="98"/>
      <c r="Y72" s="87"/>
      <c r="Z72" s="87"/>
      <c r="AA72" s="98"/>
      <c r="AB72" s="87">
        <f>SUBTOTAL(109,[IRRF])</f>
        <v>0.87000000000000011</v>
      </c>
      <c r="AC72" s="87"/>
      <c r="AD72" s="98"/>
      <c r="AE72" s="98"/>
      <c r="AF72" s="87"/>
      <c r="AG72" s="87">
        <f>SUBTOTAL(109,[LUCRO P/ OP])</f>
        <v>-242.44999999999823</v>
      </c>
      <c r="AH72" s="87"/>
      <c r="AI72" s="99"/>
      <c r="AJ72" s="100"/>
    </row>
    <row r="73" spans="1:36">
      <c r="AE7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5" sqref="E5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5" t="s">
        <v>69</v>
      </c>
      <c r="B4" s="25">
        <v>350</v>
      </c>
      <c r="C4" s="25">
        <v>19.22</v>
      </c>
      <c r="D4" s="25">
        <v>18</v>
      </c>
      <c r="E4" s="25">
        <v>1.6</v>
      </c>
      <c r="F4" s="25">
        <v>18.829999999999998</v>
      </c>
      <c r="G4" s="25">
        <v>1.01</v>
      </c>
      <c r="H4" s="81">
        <f>([QTDE] * [PREÇO COMPRA]) + ([QTDE] * [PREÇO VENDA])</f>
        <v>3654</v>
      </c>
      <c r="I4" s="81">
        <f>[PREÇO VENDA]-[PREÇO COMPRA]</f>
        <v>0.59000000000000008</v>
      </c>
      <c r="J4" s="81">
        <f>(0.01 - [PREÇO COMPRA]) + ([PREÇO VENDA] - ([EXERC. COMPRA]-[EXERC. VENDA]+0.01))</f>
        <v>-0.23999999999999821</v>
      </c>
      <c r="K4" s="106">
        <f>ROUNDDOWN([RISCO]/ABS([PERDA P/ OPÇÃO]), 0)</f>
        <v>1458</v>
      </c>
      <c r="L4" s="106">
        <f>[QTDE TMP] - MOD([QTDE TMP], 100)</f>
        <v>1400</v>
      </c>
      <c r="M4" s="81">
        <f>([QTDE]*[LUCRO P/ OPÇÃO]) - 60</f>
        <v>766.00000000000011</v>
      </c>
      <c r="N4" s="81">
        <f>[QTDE]*[PERDA P/ OPÇÃO] - 60</f>
        <v>-395.9999999999975</v>
      </c>
      <c r="O4" s="82">
        <f>[EXERC. VENDA]/[PREÇO AÇÃO]-1</f>
        <v>-6.3475546305931219E-2</v>
      </c>
      <c r="P4" s="83">
        <f>[LUCRO*]/ABS([PERDA*])</f>
        <v>1.9343434343434469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109" t="s">
        <v>7</v>
      </c>
      <c r="B1" s="109"/>
      <c r="C1" s="109" t="s">
        <v>8</v>
      </c>
      <c r="D1" s="109"/>
      <c r="E1" s="108" t="s">
        <v>9</v>
      </c>
      <c r="F1" s="108" t="s">
        <v>4</v>
      </c>
      <c r="G1" s="108" t="s">
        <v>10</v>
      </c>
      <c r="H1" s="108" t="s">
        <v>11</v>
      </c>
      <c r="I1" s="108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108"/>
      <c r="F2" s="108"/>
      <c r="G2" s="108"/>
      <c r="H2" s="108"/>
      <c r="I2" s="10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107" t="s">
        <v>26</v>
      </c>
      <c r="B4" s="107"/>
      <c r="C4" s="107"/>
      <c r="D4" s="107"/>
      <c r="E4" s="107"/>
      <c r="F4" s="107"/>
    </row>
    <row r="5" spans="1:9">
      <c r="A5" s="107" t="s">
        <v>7</v>
      </c>
      <c r="B5" s="107"/>
      <c r="C5" s="107"/>
      <c r="D5" s="107" t="s">
        <v>8</v>
      </c>
      <c r="E5" s="107"/>
      <c r="F5" s="107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2012-07-18T20:23:36Z</dcterms:modified>
</cp:coreProperties>
</file>