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0" windowWidth="2310" windowHeight="930" tabRatio="802" activeTab="9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TRAVA BAIXA NEW" sheetId="6" r:id="rId6"/>
    <sheet name="BORBOLETA" sheetId="5" r:id="rId7"/>
    <sheet name="Plan1" sheetId="7" r:id="rId8"/>
    <sheet name="SETUP" sheetId="2" r:id="rId9"/>
    <sheet name="Plan2" sheetId="10" r:id="rId10"/>
    <sheet name="Plan4" sheetId="12" r:id="rId11"/>
    <sheet name="Plan6" sheetId="14" r:id="rId12"/>
  </sheets>
  <calcPr calcId="124519"/>
  <pivotCaches>
    <pivotCache cacheId="15" r:id="rId13"/>
  </pivotCaches>
</workbook>
</file>

<file path=xl/calcChain.xml><?xml version="1.0" encoding="utf-8"?>
<calcChain xmlns="http://schemas.openxmlformats.org/spreadsheetml/2006/main">
  <c r="C103" i="1"/>
  <c r="C104" s="1"/>
  <c r="E102"/>
  <c r="T2" i="10"/>
  <c r="U2"/>
  <c r="S3"/>
  <c r="T3" s="1"/>
  <c r="B16"/>
  <c r="B2" i="3"/>
  <c r="B3"/>
  <c r="B4"/>
  <c r="B5"/>
  <c r="E103" i="1" l="1"/>
  <c r="E104" s="1"/>
  <c r="F104" s="1"/>
  <c r="G104" s="1"/>
  <c r="U3" i="10"/>
  <c r="S4"/>
  <c r="T4" s="1"/>
  <c r="V2"/>
  <c r="W2" s="1"/>
  <c r="B12"/>
  <c r="V3" l="1"/>
  <c r="W3" s="1"/>
  <c r="U4"/>
  <c r="B1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B3"/>
  <c r="B4"/>
  <c r="B5"/>
  <c r="B6"/>
  <c r="B7"/>
  <c r="B8"/>
  <c r="B9"/>
  <c r="B10"/>
  <c r="B11"/>
  <c r="B13"/>
  <c r="B14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2"/>
  <c r="F2"/>
  <c r="C3"/>
  <c r="C4"/>
  <c r="C5"/>
  <c r="C6"/>
  <c r="C7"/>
  <c r="C8"/>
  <c r="C9"/>
  <c r="C10"/>
  <c r="C11"/>
  <c r="C12"/>
  <c r="C13"/>
  <c r="C14"/>
  <c r="C15"/>
  <c r="C16"/>
  <c r="D16" s="1"/>
  <c r="C17"/>
  <c r="D17" s="1"/>
  <c r="E17" s="1"/>
  <c r="C18"/>
  <c r="D18" s="1"/>
  <c r="E18" s="1"/>
  <c r="C19"/>
  <c r="D19" s="1"/>
  <c r="E19" s="1"/>
  <c r="C20"/>
  <c r="D20" s="1"/>
  <c r="E20" s="1"/>
  <c r="C21"/>
  <c r="D21" s="1"/>
  <c r="E21" s="1"/>
  <c r="C22"/>
  <c r="D22" s="1"/>
  <c r="E22" s="1"/>
  <c r="C23"/>
  <c r="D23" s="1"/>
  <c r="E23" s="1"/>
  <c r="C24"/>
  <c r="D24" s="1"/>
  <c r="E24" s="1"/>
  <c r="C25"/>
  <c r="D25" s="1"/>
  <c r="E25" s="1"/>
  <c r="C26"/>
  <c r="D26" s="1"/>
  <c r="C27"/>
  <c r="D27" s="1"/>
  <c r="E27" s="1"/>
  <c r="C28"/>
  <c r="D28" s="1"/>
  <c r="E28" s="1"/>
  <c r="C29"/>
  <c r="D29" s="1"/>
  <c r="E29" s="1"/>
  <c r="C30"/>
  <c r="D30" s="1"/>
  <c r="E30" s="1"/>
  <c r="C31"/>
  <c r="D31" s="1"/>
  <c r="E31" s="1"/>
  <c r="C32"/>
  <c r="D32" s="1"/>
  <c r="E32" s="1"/>
  <c r="C33"/>
  <c r="D33" s="1"/>
  <c r="E33" s="1"/>
  <c r="C34"/>
  <c r="D34" s="1"/>
  <c r="E34" s="1"/>
  <c r="C35"/>
  <c r="D35" s="1"/>
  <c r="E35" s="1"/>
  <c r="C36"/>
  <c r="D36" s="1"/>
  <c r="E36" s="1"/>
  <c r="C37"/>
  <c r="D37" s="1"/>
  <c r="E37" s="1"/>
  <c r="C38"/>
  <c r="D38" s="1"/>
  <c r="E38" s="1"/>
  <c r="C39"/>
  <c r="D39" s="1"/>
  <c r="E39" s="1"/>
  <c r="C40"/>
  <c r="D40" s="1"/>
  <c r="E40" s="1"/>
  <c r="C41"/>
  <c r="D41" s="1"/>
  <c r="E41" s="1"/>
  <c r="C42"/>
  <c r="D42" s="1"/>
  <c r="E42" s="1"/>
  <c r="C43"/>
  <c r="D43" s="1"/>
  <c r="E43" s="1"/>
  <c r="C44"/>
  <c r="D44" s="1"/>
  <c r="E44" s="1"/>
  <c r="C45"/>
  <c r="D45" s="1"/>
  <c r="E45" s="1"/>
  <c r="C46"/>
  <c r="D46" s="1"/>
  <c r="E46" s="1"/>
  <c r="C47"/>
  <c r="D47" s="1"/>
  <c r="E47" s="1"/>
  <c r="C48"/>
  <c r="D48" s="1"/>
  <c r="E48" s="1"/>
  <c r="C49"/>
  <c r="D49" s="1"/>
  <c r="E49" s="1"/>
  <c r="C50"/>
  <c r="D50" s="1"/>
  <c r="E50" s="1"/>
  <c r="C51"/>
  <c r="D51" s="1"/>
  <c r="E51" s="1"/>
  <c r="C52"/>
  <c r="D52" s="1"/>
  <c r="E52" s="1"/>
  <c r="C53"/>
  <c r="D53" s="1"/>
  <c r="E53" s="1"/>
  <c r="C54"/>
  <c r="D54" s="1"/>
  <c r="E54" s="1"/>
  <c r="C55"/>
  <c r="D55" s="1"/>
  <c r="E55" s="1"/>
  <c r="C56"/>
  <c r="D56" s="1"/>
  <c r="E56" s="1"/>
  <c r="C57"/>
  <c r="D57" s="1"/>
  <c r="E57" s="1"/>
  <c r="C58"/>
  <c r="D58" s="1"/>
  <c r="E58" s="1"/>
  <c r="C59"/>
  <c r="D59" s="1"/>
  <c r="E59" s="1"/>
  <c r="C60"/>
  <c r="D60" s="1"/>
  <c r="E60" s="1"/>
  <c r="C61"/>
  <c r="D61" s="1"/>
  <c r="E61" s="1"/>
  <c r="C62"/>
  <c r="D62" s="1"/>
  <c r="E62" s="1"/>
  <c r="C63"/>
  <c r="D63" s="1"/>
  <c r="E63" s="1"/>
  <c r="C64"/>
  <c r="D64" s="1"/>
  <c r="E64" s="1"/>
  <c r="C65"/>
  <c r="D65" s="1"/>
  <c r="E65" s="1"/>
  <c r="C66"/>
  <c r="D66" s="1"/>
  <c r="E66" s="1"/>
  <c r="C67"/>
  <c r="D67" s="1"/>
  <c r="E67" s="1"/>
  <c r="C68"/>
  <c r="D68" s="1"/>
  <c r="E68" s="1"/>
  <c r="C69"/>
  <c r="D69" s="1"/>
  <c r="E69" s="1"/>
  <c r="C70"/>
  <c r="D70" s="1"/>
  <c r="E70" s="1"/>
  <c r="C71"/>
  <c r="D71" s="1"/>
  <c r="E71" s="1"/>
  <c r="C72"/>
  <c r="D72" s="1"/>
  <c r="E72" s="1"/>
  <c r="C73"/>
  <c r="D73" s="1"/>
  <c r="E73" s="1"/>
  <c r="C74"/>
  <c r="D74" s="1"/>
  <c r="E74" s="1"/>
  <c r="C75"/>
  <c r="D75" s="1"/>
  <c r="E75" s="1"/>
  <c r="C76"/>
  <c r="D76" s="1"/>
  <c r="E76" s="1"/>
  <c r="C77"/>
  <c r="D77" s="1"/>
  <c r="E77" s="1"/>
  <c r="C78"/>
  <c r="D78" s="1"/>
  <c r="E78" s="1"/>
  <c r="C79"/>
  <c r="D79" s="1"/>
  <c r="E79" s="1"/>
  <c r="C80"/>
  <c r="D80" s="1"/>
  <c r="E80" s="1"/>
  <c r="C2"/>
  <c r="D2" s="1"/>
  <c r="G80"/>
  <c r="G79"/>
  <c r="G77"/>
  <c r="G78"/>
  <c r="H78" s="1"/>
  <c r="G76"/>
  <c r="G75"/>
  <c r="G74"/>
  <c r="G73"/>
  <c r="G68"/>
  <c r="G69"/>
  <c r="H69" s="1"/>
  <c r="G70"/>
  <c r="H70" s="1"/>
  <c r="G71"/>
  <c r="H71" s="1"/>
  <c r="G72"/>
  <c r="H72" s="1"/>
  <c r="G62"/>
  <c r="G63"/>
  <c r="H63" s="1"/>
  <c r="G64"/>
  <c r="H64" s="1"/>
  <c r="G65"/>
  <c r="H65" s="1"/>
  <c r="G66"/>
  <c r="H66" s="1"/>
  <c r="G67"/>
  <c r="H67" s="1"/>
  <c r="G50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34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H48" s="1"/>
  <c r="G49"/>
  <c r="H49" s="1"/>
  <c r="G33"/>
  <c r="G30"/>
  <c r="G31"/>
  <c r="H31" s="1"/>
  <c r="G32"/>
  <c r="H32" s="1"/>
  <c r="G27"/>
  <c r="G28"/>
  <c r="H28" s="1"/>
  <c r="G29"/>
  <c r="H29" s="1"/>
  <c r="G26"/>
  <c r="G24"/>
  <c r="G25"/>
  <c r="H25" s="1"/>
  <c r="G22"/>
  <c r="G23"/>
  <c r="H23" s="1"/>
  <c r="G19"/>
  <c r="G20"/>
  <c r="H20" s="1"/>
  <c r="G21"/>
  <c r="H21" s="1"/>
  <c r="G17"/>
  <c r="G18"/>
  <c r="H18" s="1"/>
  <c r="G16"/>
  <c r="K95" i="1"/>
  <c r="L95"/>
  <c r="N95"/>
  <c r="S95"/>
  <c r="AB95"/>
  <c r="AC95"/>
  <c r="AH95"/>
  <c r="AI95"/>
  <c r="AJ95"/>
  <c r="K94"/>
  <c r="L94"/>
  <c r="N94"/>
  <c r="S94"/>
  <c r="AB94"/>
  <c r="AC94"/>
  <c r="AE94"/>
  <c r="AH94"/>
  <c r="AI94"/>
  <c r="AJ94"/>
  <c r="H17" i="10" l="1"/>
  <c r="H19"/>
  <c r="H22"/>
  <c r="H24"/>
  <c r="H26"/>
  <c r="H27"/>
  <c r="H30"/>
  <c r="H33"/>
  <c r="H34"/>
  <c r="H50"/>
  <c r="H62"/>
  <c r="H68"/>
  <c r="H73"/>
  <c r="H74"/>
  <c r="H75"/>
  <c r="H76"/>
  <c r="H77"/>
  <c r="H79"/>
  <c r="H80"/>
  <c r="V4"/>
  <c r="W4" s="1"/>
  <c r="S5"/>
  <c r="T5" s="1"/>
  <c r="E26"/>
  <c r="G2"/>
  <c r="D4"/>
  <c r="D3"/>
  <c r="E4" s="1"/>
  <c r="D15"/>
  <c r="D14"/>
  <c r="D13"/>
  <c r="D12"/>
  <c r="D11"/>
  <c r="D10"/>
  <c r="D9"/>
  <c r="D8"/>
  <c r="D7"/>
  <c r="D6"/>
  <c r="D5"/>
  <c r="E5" s="1"/>
  <c r="G15"/>
  <c r="G14"/>
  <c r="G13"/>
  <c r="G12"/>
  <c r="G11"/>
  <c r="G10"/>
  <c r="G9"/>
  <c r="G8"/>
  <c r="G7"/>
  <c r="G6"/>
  <c r="G5"/>
  <c r="G4"/>
  <c r="G3"/>
  <c r="H3" s="1"/>
  <c r="H5" l="1"/>
  <c r="H6"/>
  <c r="H7"/>
  <c r="H8"/>
  <c r="H9"/>
  <c r="H10"/>
  <c r="H11"/>
  <c r="H12"/>
  <c r="H13"/>
  <c r="H14"/>
  <c r="H15"/>
  <c r="H16"/>
  <c r="U5"/>
  <c r="S6"/>
  <c r="T6" s="1"/>
  <c r="H4"/>
  <c r="E6"/>
  <c r="E7"/>
  <c r="E8"/>
  <c r="E9"/>
  <c r="E10"/>
  <c r="E11"/>
  <c r="E12"/>
  <c r="E13"/>
  <c r="E14"/>
  <c r="E15"/>
  <c r="E16"/>
  <c r="E3"/>
  <c r="U6" l="1"/>
  <c r="S7"/>
  <c r="T7" s="1"/>
  <c r="V5"/>
  <c r="W5" s="1"/>
  <c r="N5" i="3"/>
  <c r="O5" s="1"/>
  <c r="N4"/>
  <c r="O4" s="1"/>
  <c r="V6" i="10" l="1"/>
  <c r="W6" s="1"/>
  <c r="U7"/>
  <c r="V7" s="1"/>
  <c r="W7" s="1"/>
  <c r="S8"/>
  <c r="T8" s="1"/>
  <c r="N1" i="3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U8" i="10" l="1"/>
  <c r="V8" s="1"/>
  <c r="W8" s="1"/>
  <c r="S9"/>
  <c r="T9" s="1"/>
  <c r="J3" i="6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U9" i="10" l="1"/>
  <c r="V9" s="1"/>
  <c r="W9" s="1"/>
  <c r="S10"/>
  <c r="T10" s="1"/>
  <c r="AC58" i="9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U10" i="10" l="1"/>
  <c r="V10" s="1"/>
  <c r="W10" s="1"/>
  <c r="S54" i="9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S11" i="10" l="1"/>
  <c r="T11" s="1"/>
  <c r="S17" i="9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U11" i="10" l="1"/>
  <c r="V11" s="1"/>
  <c r="W11" s="1"/>
  <c r="S12"/>
  <c r="T12" s="1"/>
  <c r="AC5" i="9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U12" i="10" l="1"/>
  <c r="V12" s="1"/>
  <c r="W12" s="1"/>
  <c r="S13"/>
  <c r="T13" s="1"/>
  <c r="Q57" i="9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U13" i="10" l="1"/>
  <c r="V13" s="1"/>
  <c r="W13" s="1"/>
  <c r="S14"/>
  <c r="T14" s="1"/>
  <c r="U58" i="9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U14" i="10" l="1"/>
  <c r="V14" s="1"/>
  <c r="W14" s="1"/>
  <c r="S15"/>
  <c r="T15" s="1"/>
  <c r="W57" i="9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U15" i="10" l="1"/>
  <c r="V15" s="1"/>
  <c r="W15" s="1"/>
  <c r="X58" i="9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S16" i="10" l="1"/>
  <c r="T16" s="1"/>
  <c r="Y51" i="9"/>
  <c r="Y61"/>
  <c r="Y34"/>
  <c r="Y17"/>
  <c r="Y13"/>
  <c r="Y10"/>
  <c r="Y11"/>
  <c r="AK4"/>
  <c r="U16" i="10" l="1"/>
  <c r="V16" s="1"/>
  <c r="W16" s="1"/>
  <c r="S17"/>
  <c r="T17" s="1"/>
  <c r="AK57" i="9"/>
  <c r="Z56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U17" i="10" l="1"/>
  <c r="V17" s="1"/>
  <c r="W17" s="1"/>
  <c r="S18"/>
  <c r="T18" s="1"/>
  <c r="AA57" i="9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U18" i="10" l="1"/>
  <c r="V18" s="1"/>
  <c r="W18" s="1"/>
  <c r="S19"/>
  <c r="T19" s="1"/>
  <c r="AE58" i="9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U19" i="10" l="1"/>
  <c r="V19" s="1"/>
  <c r="W19" s="1"/>
  <c r="S20"/>
  <c r="T20" s="1"/>
  <c r="AG59" i="9"/>
  <c r="AH56"/>
  <c r="AG52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U20" i="10" l="1"/>
  <c r="V20" s="1"/>
  <c r="W20" s="1"/>
  <c r="S21"/>
  <c r="T21" s="1"/>
  <c r="AH58" i="9"/>
  <c r="AH59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J4"/>
  <c r="K4" s="1"/>
  <c r="L4" s="1"/>
  <c r="O4"/>
  <c r="K71" i="1"/>
  <c r="L71" s="1"/>
  <c r="N71"/>
  <c r="AB71" s="1"/>
  <c r="S71"/>
  <c r="AC71"/>
  <c r="K70"/>
  <c r="L70"/>
  <c r="N70"/>
  <c r="S70"/>
  <c r="AB70"/>
  <c r="AC70"/>
  <c r="U21" i="10" l="1"/>
  <c r="V21" s="1"/>
  <c r="W21" s="1"/>
  <c r="N4" i="4"/>
  <c r="M4"/>
  <c r="AJ57" i="9"/>
  <c r="AI57"/>
  <c r="AI5"/>
  <c r="AJ47"/>
  <c r="AI47"/>
  <c r="AJ49"/>
  <c r="AH62"/>
  <c r="AI49"/>
  <c r="AJ5"/>
  <c r="H4" i="4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S22" i="10" l="1"/>
  <c r="P4" i="4"/>
  <c r="K68" i="1"/>
  <c r="L68"/>
  <c r="N68"/>
  <c r="AB68" s="1"/>
  <c r="S68"/>
  <c r="AC68"/>
  <c r="K64"/>
  <c r="L64" s="1"/>
  <c r="N64"/>
  <c r="S64"/>
  <c r="AB64"/>
  <c r="AC64"/>
  <c r="K3" i="3"/>
  <c r="K2"/>
  <c r="T22" i="10" l="1"/>
  <c r="S23"/>
  <c r="U22"/>
  <c r="V22" s="1"/>
  <c r="W22" s="1"/>
  <c r="F2" i="3"/>
  <c r="G2" s="1"/>
  <c r="J2" s="1"/>
  <c r="H2"/>
  <c r="I2" s="1"/>
  <c r="T23" i="10" l="1"/>
  <c r="S24" s="1"/>
  <c r="U23"/>
  <c r="V23" s="1"/>
  <c r="W23" s="1"/>
  <c r="L2" i="8"/>
  <c r="L3"/>
  <c r="L4"/>
  <c r="L5"/>
  <c r="T24" i="10" l="1"/>
  <c r="U24"/>
  <c r="V24" s="1"/>
  <c r="W24" s="1"/>
  <c r="S25"/>
  <c r="K63" i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T25" i="10" l="1"/>
  <c r="U25"/>
  <c r="V25" s="1"/>
  <c r="W25" s="1"/>
  <c r="S26"/>
  <c r="S54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T26" i="10" l="1"/>
  <c r="U26"/>
  <c r="V26" s="1"/>
  <c r="W26" s="1"/>
  <c r="S27"/>
  <c r="O95" i="1"/>
  <c r="P95"/>
  <c r="Q95"/>
  <c r="R95"/>
  <c r="T95"/>
  <c r="O94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T27" i="10" l="1"/>
  <c r="U27"/>
  <c r="V27" s="1"/>
  <c r="W27" s="1"/>
  <c r="S28"/>
  <c r="U95" i="1"/>
  <c r="V95"/>
  <c r="W95"/>
  <c r="U94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T28" i="10" l="1"/>
  <c r="U28"/>
  <c r="V28" s="1"/>
  <c r="W28" s="1"/>
  <c r="S29"/>
  <c r="X94" i="1"/>
  <c r="X95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T29" i="10" l="1"/>
  <c r="S30" s="1"/>
  <c r="U29"/>
  <c r="V29" s="1"/>
  <c r="W29" s="1"/>
  <c r="K56" i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T30" i="10" l="1"/>
  <c r="U30"/>
  <c r="V30" s="1"/>
  <c r="W30" s="1"/>
  <c r="S31"/>
  <c r="K51" i="1"/>
  <c r="L51"/>
  <c r="U51"/>
  <c r="V51"/>
  <c r="AB51"/>
  <c r="AC51"/>
  <c r="AH51"/>
  <c r="AI51"/>
  <c r="K48"/>
  <c r="L48"/>
  <c r="U48"/>
  <c r="V48"/>
  <c r="AB48"/>
  <c r="AC48"/>
  <c r="AE48"/>
  <c r="T31" i="10" l="1"/>
  <c r="U31"/>
  <c r="V31" s="1"/>
  <c r="W31" s="1"/>
  <c r="S32"/>
  <c r="I5" i="7"/>
  <c r="J5"/>
  <c r="K5"/>
  <c r="L5" s="1"/>
  <c r="M5"/>
  <c r="N5"/>
  <c r="T32" i="10" l="1"/>
  <c r="U32"/>
  <c r="V32" s="1"/>
  <c r="W32" s="1"/>
  <c r="S33"/>
  <c r="O5" i="7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T33" i="10" l="1"/>
  <c r="U33"/>
  <c r="V33" s="1"/>
  <c r="W33" s="1"/>
  <c r="S34"/>
  <c r="U50" i="1"/>
  <c r="V47"/>
  <c r="L2" i="7"/>
  <c r="O2" s="1"/>
  <c r="L3"/>
  <c r="O3" s="1"/>
  <c r="L4"/>
  <c r="O4" s="1"/>
  <c r="T34" i="10" l="1"/>
  <c r="S35" s="1"/>
  <c r="U34"/>
  <c r="V34" s="1"/>
  <c r="W34" s="1"/>
  <c r="N2" i="6"/>
  <c r="T35" i="10" l="1"/>
  <c r="S36" s="1"/>
  <c r="U35"/>
  <c r="V35" s="1"/>
  <c r="W35" s="1"/>
  <c r="I2" i="6"/>
  <c r="O2"/>
  <c r="T36" i="10" l="1"/>
  <c r="U36"/>
  <c r="V36" s="1"/>
  <c r="W36" s="1"/>
  <c r="S37"/>
  <c r="K49" i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T37" i="10" l="1"/>
  <c r="U37"/>
  <c r="V37" s="1"/>
  <c r="W37" s="1"/>
  <c r="S38"/>
  <c r="V39" i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T38" i="10" l="1"/>
  <c r="U38"/>
  <c r="V38" s="1"/>
  <c r="W38" s="1"/>
  <c r="S39"/>
  <c r="V37" i="1"/>
  <c r="T39" i="10" l="1"/>
  <c r="U39"/>
  <c r="V39" s="1"/>
  <c r="W39" s="1"/>
  <c r="S40"/>
  <c r="J2" i="5"/>
  <c r="K2"/>
  <c r="L2"/>
  <c r="T2"/>
  <c r="I2" i="4"/>
  <c r="I3"/>
  <c r="O2"/>
  <c r="O3"/>
  <c r="J2"/>
  <c r="J3"/>
  <c r="T40" i="10" l="1"/>
  <c r="U40"/>
  <c r="V40" s="1"/>
  <c r="W40" s="1"/>
  <c r="S41"/>
  <c r="M2" i="5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T41" i="10" l="1"/>
  <c r="U41"/>
  <c r="V41" s="1"/>
  <c r="W41" s="1"/>
  <c r="S42"/>
  <c r="Q2" i="5"/>
  <c r="S2"/>
  <c r="R2"/>
  <c r="P2"/>
  <c r="T42" i="10" l="1"/>
  <c r="U42"/>
  <c r="V42" s="1"/>
  <c r="W42" s="1"/>
  <c r="S43"/>
  <c r="U2" i="5"/>
  <c r="K3" i="4"/>
  <c r="L3" s="1"/>
  <c r="T43" i="10" l="1"/>
  <c r="U43"/>
  <c r="V43" s="1"/>
  <c r="W43" s="1"/>
  <c r="S44"/>
  <c r="N3" i="4"/>
  <c r="M3"/>
  <c r="H3"/>
  <c r="T44" i="10" l="1"/>
  <c r="U44"/>
  <c r="V44" s="1"/>
  <c r="W44" s="1"/>
  <c r="S45"/>
  <c r="P3" i="4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T45" i="10" l="1"/>
  <c r="U45"/>
  <c r="V45" s="1"/>
  <c r="W45" s="1"/>
  <c r="S46"/>
  <c r="V43" i="1"/>
  <c r="V44"/>
  <c r="V40"/>
  <c r="V34"/>
  <c r="V33"/>
  <c r="T46" i="10" l="1"/>
  <c r="U46"/>
  <c r="V46" s="1"/>
  <c r="W46" s="1"/>
  <c r="S47"/>
  <c r="K32" i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T47" i="10" l="1"/>
  <c r="U47"/>
  <c r="V47" s="1"/>
  <c r="W47" s="1"/>
  <c r="N2" i="4"/>
  <c r="M2"/>
  <c r="H2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l="1"/>
  <c r="M95"/>
  <c r="M92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l="1"/>
  <c r="AK94" s="1"/>
  <c r="Y95"/>
  <c r="AK95" s="1"/>
  <c r="Y92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2"/>
  <c r="Z95" s="1"/>
  <c r="AA95" s="1"/>
  <c r="AE95" s="1"/>
  <c r="AK2" l="1"/>
  <c r="Z94"/>
  <c r="AA94" s="1"/>
  <c r="Z93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5" l="1"/>
  <c r="AF95" s="1"/>
  <c r="AD94"/>
  <c r="AF94" s="1"/>
  <c r="AG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5" l="1"/>
  <c r="AG93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<sst xmlns="http://schemas.openxmlformats.org/spreadsheetml/2006/main" count="1018" uniqueCount="345">
  <si>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</si>
  <si>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</si>
  <si>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</si>
  <si>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</si>
  <si>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</si>
  <si>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</si>
  <si>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</si>
  <si>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</si>
  <si>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</si>
  <si>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</si>
  <si>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</si>
  <si>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</si>
  <si>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</si>
  <si>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</si>
  <si>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</si>
  <si>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</si>
  <si>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</si>
  <si>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</si>
  <si>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</si>
  <si>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</si>
  <si>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</si>
  <si>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</si>
  <si>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</si>
  <si>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</si>
  <si>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</si>
  <si>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</si>
  <si>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</si>
  <si>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</si>
  <si>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</si>
  <si>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</si>
  <si>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</si>
  <si>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</si>
  <si>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</si>
  <si>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</si>
  <si>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</si>
  <si>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</si>
  <si>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</si>
  <si>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</si>
  <si>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</si>
  <si>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</si>
  <si>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</si>
  <si>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</si>
  <si>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</si>
  <si>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</si>
  <si>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</si>
  <si>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</si>
  <si>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</si>
  <si>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</si>
  <si>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</si>
  <si>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</si>
  <si>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</si>
  <si>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</si>
  <si>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</si>
  <si>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</si>
  <si>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</si>
  <si>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</si>
  <si>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</si>
  <si>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</si>
  <si>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</si>
  <si>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</si>
  <si>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</si>
  <si>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</si>
  <si>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</si>
  <si>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</si>
  <si>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</si>
  <si>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</si>
  <si>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</si>
  <si>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</si>
  <si>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</si>
  <si>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</si>
  <si>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</si>
  <si>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</si>
  <si>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</si>
  <si>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</si>
  <si>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</si>
  <si>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</si>
  <si>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</si>
  <si>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</si>
  <si>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</si>
  <si>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</si>
  <si>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</si>
  <si>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</si>
  <si>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</si>
  <si>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</si>
  <si>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</si>
  <si>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</si>
  <si>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</si>
  <si>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</si>
  <si>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</si>
  <si>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</si>
  <si>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</si>
  <si>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</si>
  <si>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</si>
  <si>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</si>
  <si>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</si>
  <si>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</si>
  <si>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</si>
  <si>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</si>
  <si>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</si>
  <si>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</si>
  <si>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</si>
  <si>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</si>
  <si>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</si>
  <si>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</si>
  <si>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</si>
  <si>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</si>
  <si>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</si>
  <si>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</si>
  <si>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</si>
  <si>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</si>
  <si>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</si>
  <si>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</si>
  <si>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</si>
  <si>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</si>
  <si>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</si>
  <si>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</si>
  <si>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</si>
  <si>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</si>
  <si>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</si>
  <si>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</si>
  <si>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</si>
  <si>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</si>
  <si>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</si>
  <si>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</si>
  <si>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</si>
  <si>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</si>
  <si>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</si>
  <si>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</si>
  <si>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</si>
  <si>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</si>
  <si>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</si>
  <si>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</si>
  <si>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</si>
  <si>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</si>
  <si>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</si>
  <si>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</si>
  <si>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</si>
  <si>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</si>
  <si>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</si>
  <si>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</si>
  <si>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</si>
  <si>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</si>
  <si>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</si>
  <si>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</si>
  <si>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</si>
  <si>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</si>
  <si>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</si>
  <si>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</si>
  <si>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</si>
  <si>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</si>
  <si>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</si>
  <si>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</si>
  <si>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</si>
  <si>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</si>
  <si>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</si>
  <si>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</si>
  <si>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</si>
  <si>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</si>
  <si>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</si>
  <si>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</si>
  <si>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</si>
  <si>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</si>
  <si>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</si>
  <si>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</si>
  <si>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</si>
  <si>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</si>
  <si>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</si>
  <si>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</si>
  <si>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</si>
  <si>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</si>
  <si>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</si>
  <si>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</si>
  <si>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</si>
  <si>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</si>
  <si>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</si>
  <si>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</si>
  <si>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</si>
  <si>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</si>
  <si>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</si>
  <si>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</si>
  <si>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</si>
  <si>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</si>
  <si>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</si>
  <si>
    <t>VALED</t>
  </si>
  <si>
    <t>Média</t>
  </si>
  <si>
    <t>DesvPad</t>
  </si>
  <si>
    <t>%DesvPad</t>
  </si>
  <si>
    <t>Variância</t>
  </si>
  <si>
    <t>%Variância</t>
  </si>
  <si>
    <t>petr120m</t>
  </si>
  <si>
    <t>vale120m</t>
  </si>
  <si>
    <t>petr15m</t>
  </si>
  <si>
    <t>vale15m</t>
  </si>
  <si>
    <t>sell</t>
  </si>
  <si>
    <t>eurgbp</t>
  </si>
  <si>
    <t>[1][sl]</t>
  </si>
  <si>
    <t>buy</t>
  </si>
  <si>
    <t>eurusd</t>
  </si>
  <si>
    <t>[0][sl]</t>
  </si>
  <si>
    <t>gbpusd</t>
  </si>
  <si>
    <t>usdchf</t>
  </si>
  <si>
    <t>audusd</t>
  </si>
  <si>
    <t>usdcad</t>
  </si>
  <si>
    <t>[2][sl]</t>
  </si>
  <si>
    <t>Ticket</t>
  </si>
  <si>
    <t>Type</t>
  </si>
  <si>
    <t>Size</t>
  </si>
  <si>
    <t>Item</t>
  </si>
  <si>
    <t>Price</t>
  </si>
  <si>
    <t>Commission</t>
  </si>
  <si>
    <t>Taxes</t>
  </si>
  <si>
    <t>Swap</t>
  </si>
  <si>
    <t>Profit</t>
  </si>
  <si>
    <t>Total geral</t>
  </si>
  <si>
    <t>Valores</t>
  </si>
  <si>
    <t>OpenTime</t>
  </si>
  <si>
    <t>S/L</t>
  </si>
  <si>
    <t>T/P</t>
  </si>
  <si>
    <t>CloseTime</t>
  </si>
  <si>
    <t>2014,04,1700:19:57</t>
  </si>
  <si>
    <t>2014,04,1710:20:10</t>
  </si>
  <si>
    <t>2014,04,1706:15:29</t>
  </si>
  <si>
    <t>2014,04,1713:58:47</t>
  </si>
  <si>
    <t>2014,04,1708:07:18</t>
  </si>
  <si>
    <t>2014,04,1710:13:03</t>
  </si>
  <si>
    <t>2014,04,1710:19:49</t>
  </si>
  <si>
    <t>2014,04,1713:55:52</t>
  </si>
  <si>
    <t>2014,04,1710:22:38</t>
  </si>
  <si>
    <t>2014,04,1713:56:07</t>
  </si>
  <si>
    <t>2014,04,1710:42:32</t>
  </si>
  <si>
    <t>2014,04,2022:37:18</t>
  </si>
  <si>
    <t>2014,04,1711:17:31</t>
  </si>
  <si>
    <t>2014,04,1712:30:01</t>
  </si>
  <si>
    <t>2014,04,1711:59:26</t>
  </si>
  <si>
    <t>2014,04,1713:39:43</t>
  </si>
  <si>
    <t>2014,04,1716:14:23</t>
  </si>
  <si>
    <t>2014,04,1812:54:12</t>
  </si>
  <si>
    <t>2014,04,1716:18:21</t>
  </si>
  <si>
    <t>2014,04,2105:02:15</t>
  </si>
  <si>
    <t>2014,04,1808:13:57</t>
  </si>
  <si>
    <t>2014,04,1820:13:01</t>
  </si>
  <si>
    <t>2014,04,1817:46:22</t>
  </si>
  <si>
    <t>2014,04,2109:48:52</t>
  </si>
  <si>
    <t>2014,04,1818:23:12</t>
  </si>
  <si>
    <t>2014,04,2212:30:02</t>
  </si>
  <si>
    <t>2014,04,2101:12:21</t>
  </si>
  <si>
    <t>2014,04,2114:24:31</t>
  </si>
  <si>
    <t>2014,04,2104:26:27</t>
  </si>
  <si>
    <t>2014,04,2113:41:38</t>
  </si>
  <si>
    <t>2014,04,2106:27:53</t>
  </si>
  <si>
    <t>2014,04,2123:15:01</t>
  </si>
  <si>
    <t>2014,04,2106:45:48</t>
  </si>
  <si>
    <t>2014,04,2111:35:07</t>
  </si>
  <si>
    <t>2014,04,2108:59:20</t>
  </si>
  <si>
    <t>2014,04,2111:00:11</t>
  </si>
  <si>
    <t>2014,04,2111:39:46</t>
  </si>
  <si>
    <t>2014,04,2112:17:03</t>
  </si>
  <si>
    <t>2014,04,2114:59:13</t>
  </si>
  <si>
    <t>2014,04,2213:04:23</t>
  </si>
  <si>
    <t>2014,04,2114:59:57</t>
  </si>
  <si>
    <t>2014,04,2206:53:37</t>
  </si>
  <si>
    <t>2014,04,2115:00:24</t>
  </si>
  <si>
    <t>2014,04,2210:28:43</t>
  </si>
  <si>
    <t>2014,04,2200:24:41</t>
  </si>
  <si>
    <t>2014,04,2212:29:49</t>
  </si>
  <si>
    <t>2014,04,2201:44:31</t>
  </si>
  <si>
    <t>2014,04,2301:30:02</t>
  </si>
  <si>
    <t>2014,04,2206:00:02</t>
  </si>
  <si>
    <t>2014,04,2305:01:45</t>
  </si>
  <si>
    <t>2014,04,2206:02:29</t>
  </si>
  <si>
    <t>2014,04,2301:30:03</t>
  </si>
  <si>
    <t>2014,04,2206:13:36</t>
  </si>
  <si>
    <t>2014,04,2210:30:27</t>
  </si>
  <si>
    <t>2014,04,2206:53:38</t>
  </si>
  <si>
    <t>2014,04,2214:33:00</t>
  </si>
  <si>
    <t>2014,04,2208:19:03</t>
  </si>
  <si>
    <t>2014,04,2214:00:07</t>
  </si>
  <si>
    <t>2014,04,2214:36:05</t>
  </si>
  <si>
    <t>2014,04,2311:42:37</t>
  </si>
  <si>
    <t>2014,04,2301:30:08</t>
  </si>
  <si>
    <t>2014,04,2311:39:22</t>
  </si>
  <si>
    <t>2014,04,2306:05:36</t>
  </si>
  <si>
    <t>2014,04,2307:07:54</t>
  </si>
  <si>
    <t>Trades</t>
  </si>
  <si>
    <t>Total Profit</t>
  </si>
  <si>
    <t>H1</t>
  </si>
  <si>
    <t>Price2</t>
  </si>
  <si>
    <t>Moeda</t>
  </si>
  <si>
    <t>2014,04,2105:27:38</t>
  </si>
  <si>
    <t>2014,04,2314:45:21</t>
  </si>
  <si>
    <t>2014,04,2303:27:12</t>
  </si>
  <si>
    <t>2014,04,2320:31:07</t>
  </si>
  <si>
    <t>2014,04,2313:36:58</t>
  </si>
  <si>
    <t>2014,04,2316:09:15</t>
  </si>
  <si>
    <t>2014,04,2313:36:59</t>
  </si>
  <si>
    <t>DesvPad de Profit</t>
  </si>
  <si>
    <t>Var de Profit</t>
  </si>
  <si>
    <t>2014,04,2308:02:18</t>
  </si>
  <si>
    <t>2014,04,2406:35:36</t>
  </si>
  <si>
    <t>2014,04,2308:11:32</t>
  </si>
  <si>
    <t>2014,04,2406:10:07</t>
  </si>
  <si>
    <t>2014,04,2310:14:49</t>
  </si>
  <si>
    <t>2014,04,2406:36:41</t>
  </si>
  <si>
    <t>2014,04,2400:01:44</t>
  </si>
  <si>
    <t>2014,04,2402:58:17</t>
  </si>
  <si>
    <t>2014,04,2402:21:13</t>
  </si>
  <si>
    <t>2014,04,2406:02:39</t>
  </si>
  <si>
    <t>2014,04,2406:43:21</t>
  </si>
  <si>
    <t>2014,04,2410:22:41</t>
  </si>
  <si>
    <t>2014,04,2406:54:07</t>
  </si>
  <si>
    <t>2014,04,2409:00:25</t>
  </si>
  <si>
    <t>2014,04,2408:00:07</t>
  </si>
  <si>
    <t>2014,04,2409:00:07</t>
  </si>
  <si>
    <t>2014,04,2301:50:32</t>
  </si>
  <si>
    <t>2014,04,2503:46:42</t>
  </si>
  <si>
    <t>2014,04,2410:23:13</t>
  </si>
  <si>
    <t>2014,04,2414:25:50</t>
  </si>
  <si>
    <t>2014,04,2308:11:36</t>
  </si>
  <si>
    <t>2014,04,2412:36:53</t>
  </si>
  <si>
    <t>2014,04,2508:30:05</t>
  </si>
  <si>
    <t>2014,04,2508:32:31</t>
  </si>
  <si>
    <t>2014,04,2412:59:06</t>
  </si>
  <si>
    <t>2014,04,2421:00:00</t>
  </si>
  <si>
    <t>2014,04,2408:00:09</t>
  </si>
  <si>
    <t>2014,04,2412:59:04</t>
  </si>
  <si>
    <t>petr1d</t>
  </si>
  <si>
    <t>vale1d</t>
  </si>
  <si>
    <t>2014,04,2511:12:22</t>
  </si>
  <si>
    <t>2014,04,2513:13:40</t>
  </si>
  <si>
    <t>2014,04,2508:30:16</t>
  </si>
  <si>
    <t>2014,04,2514:56:13</t>
  </si>
  <si>
    <t>2014,04,2511:18:07</t>
  </si>
  <si>
    <t>2014,04,2515:00:05</t>
  </si>
  <si>
    <t>2014,04,2508:30:40</t>
  </si>
  <si>
    <t>2014,04,2515:29:55</t>
  </si>
  <si>
    <t>2014,04,2508:30:04</t>
  </si>
  <si>
    <t>2014,04,2516:23:07</t>
  </si>
  <si>
    <t>2014,04,2509:20:12</t>
  </si>
  <si>
    <t>2014,04,2800:27:20</t>
  </si>
  <si>
    <t>2014,04,2800:19:49</t>
  </si>
  <si>
    <t>2014,04,2806:14:22</t>
  </si>
  <si>
    <t>2014,04,2516:04:08</t>
  </si>
  <si>
    <t>2014,04,2806:26:34</t>
  </si>
  <si>
    <t>2014,04,2806:30:54</t>
  </si>
  <si>
    <t>2014,04,2809:01:01</t>
  </si>
</sst>
</file>

<file path=xl/styles.xml><?xml version="1.0" encoding="utf-8"?>
<styleSheet xmlns="http://schemas.openxmlformats.org/spreadsheetml/2006/main">
  <numFmts count="11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18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0E0E0"/>
        <bgColor indexed="64"/>
      </patternFill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87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172" fontId="3" fillId="0" borderId="0" xfId="3" applyNumberFormat="1" applyFont="1" applyBorder="1" applyAlignment="1"/>
    <xf numFmtId="167" fontId="3" fillId="0" borderId="0" xfId="2" applyNumberFormat="1" applyFont="1"/>
    <xf numFmtId="10" fontId="4" fillId="0" borderId="0" xfId="2" applyNumberFormat="1" applyFont="1"/>
    <xf numFmtId="43" fontId="4" fillId="0" borderId="0" xfId="3" applyFont="1"/>
    <xf numFmtId="9" fontId="4" fillId="0" borderId="0" xfId="2" applyFont="1"/>
    <xf numFmtId="9" fontId="3" fillId="0" borderId="0" xfId="2" applyFont="1"/>
    <xf numFmtId="9" fontId="3" fillId="0" borderId="0" xfId="0" applyNumberFormat="1" applyFont="1"/>
    <xf numFmtId="167" fontId="4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16" fillId="3" borderId="3" xfId="0" applyFont="1" applyFill="1" applyBorder="1" applyAlignment="1">
      <alignment horizontal="right" wrapText="1"/>
    </xf>
    <xf numFmtId="0" fontId="16" fillId="3" borderId="4" xfId="0" applyFont="1" applyFill="1" applyBorder="1" applyAlignment="1">
      <alignment horizontal="right"/>
    </xf>
    <xf numFmtId="0" fontId="16" fillId="3" borderId="4" xfId="0" applyFont="1" applyFill="1" applyBorder="1" applyAlignment="1">
      <alignment horizontal="right" wrapText="1"/>
    </xf>
    <xf numFmtId="0" fontId="16" fillId="2" borderId="4" xfId="0" applyFont="1" applyFill="1" applyBorder="1" applyAlignment="1">
      <alignment horizontal="right"/>
    </xf>
    <xf numFmtId="0" fontId="16" fillId="2" borderId="4" xfId="0" applyFont="1" applyFill="1" applyBorder="1" applyAlignment="1">
      <alignment horizontal="right" wrapText="1"/>
    </xf>
    <xf numFmtId="3" fontId="16" fillId="2" borderId="4" xfId="0" applyNumberFormat="1" applyFont="1" applyFill="1" applyBorder="1" applyAlignment="1">
      <alignment horizontal="right" wrapText="1"/>
    </xf>
    <xf numFmtId="0" fontId="16" fillId="0" borderId="4" xfId="0" applyFont="1" applyBorder="1" applyAlignment="1">
      <alignment horizontal="right" wrapText="1"/>
    </xf>
    <xf numFmtId="3" fontId="16" fillId="3" borderId="4" xfId="0" applyNumberFormat="1" applyFont="1" applyFill="1" applyBorder="1" applyAlignment="1">
      <alignment horizontal="right" wrapText="1"/>
    </xf>
    <xf numFmtId="0" fontId="16" fillId="2" borderId="3" xfId="0" applyFont="1" applyFill="1" applyBorder="1" applyAlignment="1">
      <alignment horizontal="right" wrapText="1"/>
    </xf>
    <xf numFmtId="0" fontId="15" fillId="2" borderId="5" xfId="0" applyFont="1" applyFill="1" applyBorder="1"/>
    <xf numFmtId="0" fontId="16" fillId="0" borderId="3" xfId="0" applyFont="1" applyBorder="1" applyAlignment="1">
      <alignment horizontal="right" wrapText="1"/>
    </xf>
    <xf numFmtId="0" fontId="15" fillId="0" borderId="4" xfId="0" applyFont="1" applyBorder="1"/>
    <xf numFmtId="0" fontId="17" fillId="4" borderId="4" xfId="0" applyFont="1" applyFill="1" applyBorder="1" applyAlignment="1">
      <alignment horizontal="center" wrapText="1"/>
    </xf>
    <xf numFmtId="0" fontId="17" fillId="4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6" fillId="2" borderId="3" xfId="0" applyFont="1" applyFill="1" applyBorder="1" applyAlignment="1">
      <alignment horizontal="right" wrapText="1"/>
    </xf>
    <xf numFmtId="0" fontId="15" fillId="2" borderId="4" xfId="0" applyFont="1" applyFill="1" applyBorder="1"/>
    <xf numFmtId="43" fontId="3" fillId="0" borderId="6" xfId="0" applyNumberFormat="1" applyFont="1" applyBorder="1"/>
    <xf numFmtId="164" fontId="3" fillId="0" borderId="6" xfId="1" applyFont="1" applyBorder="1"/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6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C0C0C0"/>
        </patternFill>
      </fill>
      <alignment horizontal="center" vertical="bottom" textRotation="0" wrapText="1" indent="0" relativeIndent="0" justifyLastLine="0" shrinkToFit="0" mergeCell="0" readingOrder="0"/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757.443213078703" createdVersion="3" refreshedVersion="3" minRefreshableVersion="3" recordCount="119">
  <cacheSource type="worksheet">
    <worksheetSource name="Tabela9"/>
  </cacheSource>
  <cacheFields count="14">
    <cacheField name="Ticket" numFmtId="0">
      <sharedItems containsString="0" containsBlank="1" containsNumber="1" containsInteger="1" minValue="21044604" maxValue="21129706"/>
    </cacheField>
    <cacheField name="OpenTime" numFmtId="0">
      <sharedItems containsBlank="1"/>
    </cacheField>
    <cacheField name="Type" numFmtId="0">
      <sharedItems containsBlank="1" count="4">
        <s v="buy"/>
        <m/>
        <s v="sell"/>
        <s v="balance" u="1"/>
      </sharedItems>
    </cacheField>
    <cacheField name="Size" numFmtId="0">
      <sharedItems containsString="0" containsBlank="1" containsNumber="1" minValue="0.75" maxValue="12.85"/>
    </cacheField>
    <cacheField name="Item" numFmtId="0">
      <sharedItems containsBlank="1" count="7">
        <s v="gbpusd"/>
        <m/>
        <s v="eurgbp"/>
        <s v="usdcad"/>
        <s v="usdchf"/>
        <s v="eurusd"/>
        <s v="audusd"/>
      </sharedItems>
    </cacheField>
    <cacheField name="Price" numFmtId="0">
      <sharedItems containsString="0" containsBlank="1" containsNumber="1" minValue="0.82133999999999996" maxValue="168419"/>
    </cacheField>
    <cacheField name="S/L" numFmtId="0">
      <sharedItems containsString="0" containsBlank="1" containsNumber="1" minValue="0.82169999999999999" maxValue="168230"/>
    </cacheField>
    <cacheField name="T/P" numFmtId="0">
      <sharedItems containsString="0" containsBlank="1" containsNumber="1" containsInteger="1" minValue="0" maxValue="0"/>
    </cacheField>
    <cacheField name="CloseTime" numFmtId="0">
      <sharedItems containsBlank="1"/>
    </cacheField>
    <cacheField name="Price2" numFmtId="0">
      <sharedItems containsString="0" containsBlank="1" containsNumber="1" minValue="0.82169999999999999" maxValue="168230"/>
    </cacheField>
    <cacheField name="Commission" numFmtId="0">
      <sharedItems containsBlank="1" containsMixedTypes="1" containsNumber="1" containsInteger="1" minValue="0" maxValue="0" count="5">
        <s v="[0][sl]"/>
        <n v="0"/>
        <s v="[1][sl]"/>
        <s v="[2][sl]"/>
        <m/>
      </sharedItems>
    </cacheField>
    <cacheField name="Taxes" numFmtId="0">
      <sharedItems containsString="0" containsBlank="1" containsNumber="1" containsInteger="1" minValue="0" maxValue="0"/>
    </cacheField>
    <cacheField name="Swap" numFmtId="0">
      <sharedItems containsString="0" containsBlank="1" containsNumber="1" minValue="-146.68" maxValue="23.72"/>
    </cacheField>
    <cacheField name="Profit" numFmtId="0">
      <sharedItems containsString="0" containsBlank="1" containsNumber="1" minValue="-3572.3" maxValue="1315.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n v="21054019"/>
    <s v="2014,04,1708:07:18"/>
    <x v="0"/>
    <n v="2.23"/>
    <x v="0"/>
    <n v="168419"/>
    <n v="168230"/>
    <n v="0"/>
    <s v="2014,04,1710:13:03"/>
    <n v="168230"/>
    <x v="0"/>
    <m/>
    <m/>
    <n v="-421.47"/>
  </r>
  <r>
    <m/>
    <m/>
    <x v="1"/>
    <m/>
    <x v="1"/>
    <m/>
    <m/>
    <m/>
    <m/>
    <n v="8855"/>
    <x v="1"/>
    <n v="0"/>
    <n v="0"/>
    <m/>
  </r>
  <r>
    <n v="21044604"/>
    <s v="2014,04,1700:19:57"/>
    <x v="2"/>
    <n v="6.9"/>
    <x v="2"/>
    <n v="0.82133999999999996"/>
    <n v="0.82420000000000004"/>
    <n v="0"/>
    <s v="2014,04,1710:20:10"/>
    <n v="0.82420000000000004"/>
    <x v="2"/>
    <m/>
    <m/>
    <n v="-3319.75"/>
  </r>
  <r>
    <m/>
    <m/>
    <x v="1"/>
    <m/>
    <x v="1"/>
    <m/>
    <m/>
    <m/>
    <m/>
    <n v="8855"/>
    <x v="1"/>
    <n v="0"/>
    <n v="0"/>
    <m/>
  </r>
  <r>
    <n v="21058005"/>
    <s v="2014,04,1711:17:31"/>
    <x v="0"/>
    <n v="4.4000000000000004"/>
    <x v="3"/>
    <n v="110195"/>
    <n v="109980"/>
    <n v="0"/>
    <s v="2014,04,1712:30:01"/>
    <n v="109980"/>
    <x v="0"/>
    <m/>
    <m/>
    <n v="-860.16"/>
  </r>
  <r>
    <m/>
    <m/>
    <x v="1"/>
    <m/>
    <x v="1"/>
    <m/>
    <m/>
    <m/>
    <m/>
    <n v="8855"/>
    <x v="1"/>
    <n v="0"/>
    <n v="0"/>
    <m/>
  </r>
  <r>
    <n v="21058723"/>
    <s v="2014,04,1711:59:26"/>
    <x v="2"/>
    <n v="3.44"/>
    <x v="0"/>
    <n v="168031"/>
    <n v="168160"/>
    <n v="0"/>
    <s v="2014,04,1713:39:43"/>
    <n v="168160"/>
    <x v="0"/>
    <m/>
    <m/>
    <n v="-443.76"/>
  </r>
  <r>
    <m/>
    <m/>
    <x v="1"/>
    <m/>
    <x v="1"/>
    <m/>
    <m/>
    <m/>
    <m/>
    <n v="8855"/>
    <x v="1"/>
    <n v="0"/>
    <n v="0"/>
    <m/>
  </r>
  <r>
    <n v="21057029"/>
    <s v="2014,04,1710:19:49"/>
    <x v="0"/>
    <n v="4.33"/>
    <x v="2"/>
    <n v="0.82415000000000005"/>
    <n v="0.82310000000000005"/>
    <n v="0"/>
    <s v="2014,04,1713:55:52"/>
    <n v="0.82310000000000005"/>
    <x v="0"/>
    <m/>
    <m/>
    <n v="-764.3"/>
  </r>
  <r>
    <m/>
    <m/>
    <x v="1"/>
    <m/>
    <x v="1"/>
    <m/>
    <m/>
    <m/>
    <m/>
    <n v="8855"/>
    <x v="1"/>
    <n v="0"/>
    <n v="0"/>
    <m/>
  </r>
  <r>
    <n v="21057068"/>
    <s v="2014,04,1710:22:38"/>
    <x v="2"/>
    <n v="6.21"/>
    <x v="4"/>
    <n v="0.87761999999999996"/>
    <n v="0.88070000000000004"/>
    <n v="0"/>
    <s v="2014,04,1713:56:07"/>
    <n v="0.88070000000000004"/>
    <x v="2"/>
    <m/>
    <m/>
    <n v="-2171.77"/>
  </r>
  <r>
    <m/>
    <m/>
    <x v="1"/>
    <m/>
    <x v="1"/>
    <m/>
    <m/>
    <m/>
    <m/>
    <n v="8855"/>
    <x v="1"/>
    <n v="0"/>
    <n v="0"/>
    <m/>
  </r>
  <r>
    <n v="21051646"/>
    <s v="2014,04,1706:15:29"/>
    <x v="0"/>
    <n v="3.45"/>
    <x v="5"/>
    <n v="138456"/>
    <n v="138370"/>
    <n v="0"/>
    <s v="2014,04,1713:58:47"/>
    <n v="138370"/>
    <x v="0"/>
    <m/>
    <m/>
    <n v="-296.7"/>
  </r>
  <r>
    <m/>
    <m/>
    <x v="1"/>
    <m/>
    <x v="1"/>
    <m/>
    <m/>
    <m/>
    <m/>
    <n v="8855"/>
    <x v="1"/>
    <n v="0"/>
    <n v="-19.670000000000002"/>
    <m/>
  </r>
  <r>
    <n v="21063027"/>
    <s v="2014,04,1716:14:23"/>
    <x v="2"/>
    <n v="4.37"/>
    <x v="0"/>
    <n v="167945"/>
    <n v="167990"/>
    <n v="0"/>
    <s v="2014,04,1812:54:12"/>
    <n v="167990"/>
    <x v="0"/>
    <m/>
    <m/>
    <n v="-196.65"/>
  </r>
  <r>
    <m/>
    <m/>
    <x v="1"/>
    <m/>
    <x v="1"/>
    <m/>
    <m/>
    <m/>
    <m/>
    <n v="8855"/>
    <x v="1"/>
    <n v="0"/>
    <n v="0"/>
    <m/>
  </r>
  <r>
    <n v="21067781"/>
    <s v="2014,04,1808:13:57"/>
    <x v="0"/>
    <n v="6.16"/>
    <x v="2"/>
    <n v="0.82364999999999999"/>
    <n v="0.82220000000000004"/>
    <n v="0"/>
    <s v="2014,04,1820:13:01"/>
    <n v="0.82220000000000004"/>
    <x v="0"/>
    <m/>
    <m/>
    <n v="-1499.86"/>
  </r>
  <r>
    <m/>
    <m/>
    <x v="1"/>
    <m/>
    <x v="1"/>
    <m/>
    <m/>
    <m/>
    <m/>
    <n v="8855"/>
    <x v="1"/>
    <n v="0"/>
    <n v="-49.25"/>
    <m/>
  </r>
  <r>
    <n v="21057422"/>
    <s v="2014,04,1710:42:32"/>
    <x v="2"/>
    <n v="2.92"/>
    <x v="6"/>
    <n v="0.93432999999999999"/>
    <n v="0.93430000000000002"/>
    <n v="0"/>
    <s v="2014,04,2022:37:18"/>
    <n v="0.93430000000000002"/>
    <x v="0"/>
    <m/>
    <m/>
    <n v="8.76"/>
  </r>
  <r>
    <m/>
    <m/>
    <x v="1"/>
    <m/>
    <x v="1"/>
    <m/>
    <m/>
    <m/>
    <m/>
    <n v="8855"/>
    <x v="1"/>
    <n v="0"/>
    <n v="-46.88"/>
    <m/>
  </r>
  <r>
    <n v="21063104"/>
    <s v="2014,04,1716:18:21"/>
    <x v="2"/>
    <n v="2.78"/>
    <x v="6"/>
    <n v="0.93281999999999998"/>
    <n v="0.93340000000000001"/>
    <n v="0"/>
    <s v="2014,04,2105:02:15"/>
    <n v="0.93340000000000001"/>
    <x v="2"/>
    <m/>
    <m/>
    <n v="-161.24"/>
  </r>
  <r>
    <m/>
    <m/>
    <x v="1"/>
    <m/>
    <x v="1"/>
    <m/>
    <m/>
    <m/>
    <m/>
    <n v="8855"/>
    <x v="1"/>
    <n v="0"/>
    <n v="-23.05"/>
    <m/>
  </r>
  <r>
    <n v="21069584"/>
    <s v="2014,04,1817:46:22"/>
    <x v="0"/>
    <n v="3.81"/>
    <x v="3"/>
    <n v="110288"/>
    <n v="110150"/>
    <n v="0"/>
    <s v="2014,04,2109:48:52"/>
    <n v="110150"/>
    <x v="0"/>
    <m/>
    <m/>
    <n v="-477.33"/>
  </r>
  <r>
    <m/>
    <m/>
    <x v="1"/>
    <m/>
    <x v="1"/>
    <m/>
    <m/>
    <m/>
    <m/>
    <n v="8855"/>
    <x v="1"/>
    <n v="0"/>
    <n v="0"/>
    <m/>
  </r>
  <r>
    <n v="21074265"/>
    <s v="2014,04,2108:59:20"/>
    <x v="0"/>
    <n v="4.99"/>
    <x v="5"/>
    <n v="138295"/>
    <n v="138160"/>
    <n v="0"/>
    <s v="2014,04,2111:00:11"/>
    <n v="138160"/>
    <x v="0"/>
    <m/>
    <m/>
    <n v="-673.65"/>
  </r>
  <r>
    <m/>
    <m/>
    <x v="1"/>
    <m/>
    <x v="1"/>
    <m/>
    <m/>
    <m/>
    <m/>
    <n v="8855"/>
    <x v="1"/>
    <n v="0"/>
    <n v="0"/>
    <m/>
  </r>
  <r>
    <n v="21073603"/>
    <s v="2014,04,2106:45:48"/>
    <x v="2"/>
    <n v="11.29"/>
    <x v="4"/>
    <n v="0.88221000000000005"/>
    <n v="0.88349999999999995"/>
    <n v="0"/>
    <s v="2014,04,2111:35:07"/>
    <n v="0.88349999999999995"/>
    <x v="2"/>
    <m/>
    <m/>
    <n v="-1648.46"/>
  </r>
  <r>
    <m/>
    <m/>
    <x v="1"/>
    <m/>
    <x v="1"/>
    <m/>
    <m/>
    <m/>
    <m/>
    <n v="8855"/>
    <x v="1"/>
    <n v="0"/>
    <n v="0"/>
    <m/>
  </r>
  <r>
    <n v="21075142"/>
    <s v="2014,04,2111:39:46"/>
    <x v="2"/>
    <n v="4.83"/>
    <x v="3"/>
    <n v="110074"/>
    <n v="110200"/>
    <n v="0"/>
    <s v="2014,04,2112:17:03"/>
    <n v="110200"/>
    <x v="0"/>
    <m/>
    <m/>
    <n v="-552.25"/>
  </r>
  <r>
    <m/>
    <m/>
    <x v="1"/>
    <m/>
    <x v="1"/>
    <m/>
    <m/>
    <m/>
    <m/>
    <n v="8855"/>
    <x v="1"/>
    <n v="0"/>
    <n v="0"/>
    <m/>
  </r>
  <r>
    <n v="21073092"/>
    <s v="2014,04,2104:26:27"/>
    <x v="0"/>
    <n v="8.18"/>
    <x v="0"/>
    <n v="168015"/>
    <n v="167910"/>
    <n v="0"/>
    <s v="2014,04,2113:41:38"/>
    <n v="167910"/>
    <x v="2"/>
    <m/>
    <m/>
    <n v="-858.9"/>
  </r>
  <r>
    <m/>
    <m/>
    <x v="1"/>
    <m/>
    <x v="1"/>
    <m/>
    <m/>
    <m/>
    <m/>
    <n v="8855"/>
    <x v="1"/>
    <n v="0"/>
    <n v="0"/>
    <m/>
  </r>
  <r>
    <n v="21072273"/>
    <s v="2014,04,2101:12:21"/>
    <x v="2"/>
    <n v="12.85"/>
    <x v="6"/>
    <n v="0.93152000000000001"/>
    <n v="0.93430000000000002"/>
    <n v="0"/>
    <s v="2014,04,2114:24:31"/>
    <n v="0.93430000000000002"/>
    <x v="3"/>
    <m/>
    <m/>
    <n v="-3572.3"/>
  </r>
  <r>
    <m/>
    <m/>
    <x v="1"/>
    <m/>
    <x v="1"/>
    <m/>
    <m/>
    <m/>
    <m/>
    <n v="8855"/>
    <x v="1"/>
    <n v="0"/>
    <n v="-4.8"/>
    <m/>
  </r>
  <r>
    <n v="21073546"/>
    <s v="2014,04,2106:27:53"/>
    <x v="2"/>
    <n v="5.65"/>
    <x v="2"/>
    <n v="0.82184000000000001"/>
    <n v="0.82169999999999999"/>
    <n v="0"/>
    <s v="2014,04,2123:15:01"/>
    <n v="0.82169999999999999"/>
    <x v="0"/>
    <m/>
    <m/>
    <n v="132.83000000000001"/>
  </r>
  <r>
    <m/>
    <m/>
    <x v="1"/>
    <m/>
    <x v="1"/>
    <m/>
    <m/>
    <m/>
    <m/>
    <n v="8855"/>
    <x v="1"/>
    <n v="0"/>
    <n v="-13.26"/>
    <m/>
  </r>
  <r>
    <n v="21076576"/>
    <s v="2014,04,2114:59:57"/>
    <x v="2"/>
    <n v="5.9"/>
    <x v="5"/>
    <n v="138015"/>
    <n v="138050"/>
    <n v="0"/>
    <s v="2014,04,2206:53:37"/>
    <n v="138050"/>
    <x v="0"/>
    <m/>
    <m/>
    <n v="-206.5"/>
  </r>
  <r>
    <m/>
    <m/>
    <x v="1"/>
    <m/>
    <x v="1"/>
    <m/>
    <m/>
    <m/>
    <m/>
    <n v="8855"/>
    <x v="1"/>
    <n v="0"/>
    <n v="-20.59"/>
    <m/>
  </r>
  <r>
    <n v="21076635"/>
    <s v="2014,04,2115:00:24"/>
    <x v="2"/>
    <n v="9.16"/>
    <x v="5"/>
    <n v="137981"/>
    <n v="138160"/>
    <n v="0"/>
    <s v="2014,04,2210:28:43"/>
    <n v="138160"/>
    <x v="2"/>
    <m/>
    <m/>
    <n v="-1639.64"/>
  </r>
  <r>
    <m/>
    <m/>
    <x v="1"/>
    <m/>
    <x v="1"/>
    <m/>
    <m/>
    <m/>
    <m/>
    <n v="8855"/>
    <x v="1"/>
    <n v="0"/>
    <n v="0"/>
    <m/>
  </r>
  <r>
    <n v="21081737"/>
    <s v="2014,04,2206:13:36"/>
    <x v="0"/>
    <n v="4.33"/>
    <x v="4"/>
    <n v="0.88566"/>
    <n v="0.88349999999999995"/>
    <n v="0"/>
    <s v="2014,04,2210:30:27"/>
    <n v="0.88349999999999995"/>
    <x v="2"/>
    <m/>
    <m/>
    <n v="-1058.6099999999999"/>
  </r>
  <r>
    <m/>
    <m/>
    <x v="1"/>
    <m/>
    <x v="1"/>
    <m/>
    <m/>
    <m/>
    <m/>
    <n v="8855"/>
    <x v="1"/>
    <n v="0"/>
    <n v="0"/>
    <m/>
  </r>
  <r>
    <n v="21080326"/>
    <s v="2014,04,2200:24:41"/>
    <x v="0"/>
    <n v="4.83"/>
    <x v="3"/>
    <n v="110255"/>
    <n v="110090"/>
    <n v="0"/>
    <s v="2014,04,2212:29:49"/>
    <n v="110090"/>
    <x v="0"/>
    <m/>
    <m/>
    <n v="-723.91"/>
  </r>
  <r>
    <m/>
    <m/>
    <x v="1"/>
    <m/>
    <x v="1"/>
    <m/>
    <m/>
    <m/>
    <m/>
    <n v="8855"/>
    <x v="1"/>
    <n v="0"/>
    <n v="-85.52"/>
    <m/>
  </r>
  <r>
    <n v="21069701"/>
    <s v="2014,04,1818:23:12"/>
    <x v="0"/>
    <n v="7.07"/>
    <x v="3"/>
    <n v="110305"/>
    <n v="110050"/>
    <n v="0"/>
    <s v="2014,04,2212:30:02"/>
    <n v="110050"/>
    <x v="2"/>
    <m/>
    <m/>
    <n v="-1638.21"/>
  </r>
  <r>
    <m/>
    <m/>
    <x v="1"/>
    <m/>
    <x v="1"/>
    <m/>
    <m/>
    <m/>
    <m/>
    <n v="8855"/>
    <x v="1"/>
    <n v="0"/>
    <n v="-8.19"/>
    <m/>
  </r>
  <r>
    <n v="21076560"/>
    <s v="2014,04,2114:59:13"/>
    <x v="2"/>
    <n v="9.64"/>
    <x v="2"/>
    <n v="0.82150000000000001"/>
    <n v="0.82169999999999999"/>
    <n v="0"/>
    <s v="2014,04,2213:04:23"/>
    <n v="0.82169999999999999"/>
    <x v="2"/>
    <m/>
    <m/>
    <n v="-324.32"/>
  </r>
  <r>
    <m/>
    <m/>
    <x v="1"/>
    <m/>
    <x v="1"/>
    <m/>
    <m/>
    <m/>
    <m/>
    <n v="8855"/>
    <x v="1"/>
    <n v="0"/>
    <n v="0"/>
    <m/>
  </r>
  <r>
    <n v="21082902"/>
    <s v="2014,04,2208:19:03"/>
    <x v="0"/>
    <n v="2.73"/>
    <x v="5"/>
    <n v="138105"/>
    <n v="138080"/>
    <n v="0"/>
    <s v="2014,04,2214:00:07"/>
    <n v="138080"/>
    <x v="0"/>
    <m/>
    <m/>
    <n v="-68.25"/>
  </r>
  <r>
    <m/>
    <m/>
    <x v="1"/>
    <m/>
    <x v="1"/>
    <m/>
    <m/>
    <m/>
    <m/>
    <n v="8855"/>
    <x v="1"/>
    <n v="0"/>
    <n v="0"/>
    <m/>
  </r>
  <r>
    <n v="21082103"/>
    <s v="2014,04,2206:53:38"/>
    <x v="2"/>
    <n v="5.85"/>
    <x v="4"/>
    <n v="0.88412000000000002"/>
    <n v="0.88617000000000001"/>
    <n v="0"/>
    <s v="2014,04,2214:33:00"/>
    <n v="0.88617000000000001"/>
    <x v="0"/>
    <m/>
    <m/>
    <n v="-1353.3"/>
  </r>
  <r>
    <m/>
    <m/>
    <x v="1"/>
    <m/>
    <x v="1"/>
    <m/>
    <m/>
    <m/>
    <m/>
    <n v="8855"/>
    <x v="1"/>
    <n v="0"/>
    <n v="15.17"/>
    <m/>
  </r>
  <r>
    <n v="21080658"/>
    <s v="2014,04,2201:44:31"/>
    <x v="0"/>
    <n v="2.84"/>
    <x v="6"/>
    <n v="0.93518000000000001"/>
    <n v="0.93579999999999997"/>
    <n v="0"/>
    <s v="2014,04,2301:30:02"/>
    <n v="0.93579999999999997"/>
    <x v="0"/>
    <m/>
    <m/>
    <n v="176.08"/>
  </r>
  <r>
    <m/>
    <m/>
    <x v="1"/>
    <m/>
    <x v="1"/>
    <m/>
    <m/>
    <m/>
    <m/>
    <n v="8855"/>
    <x v="1"/>
    <n v="0"/>
    <n v="23.72"/>
    <m/>
  </r>
  <r>
    <n v="21081628"/>
    <s v="2014,04,2206:02:29"/>
    <x v="0"/>
    <n v="4.4400000000000004"/>
    <x v="6"/>
    <n v="0.93635000000000002"/>
    <n v="0.93430000000000002"/>
    <n v="0"/>
    <s v="2014,04,2301:30:03"/>
    <n v="0.93430000000000002"/>
    <x v="2"/>
    <m/>
    <m/>
    <n v="-910.2"/>
  </r>
  <r>
    <m/>
    <m/>
    <x v="1"/>
    <m/>
    <x v="1"/>
    <m/>
    <m/>
    <m/>
    <m/>
    <n v="8855"/>
    <x v="1"/>
    <n v="0"/>
    <n v="-6.48"/>
    <m/>
  </r>
  <r>
    <n v="21081594"/>
    <s v="2014,04,2206:00:02"/>
    <x v="0"/>
    <n v="5.9"/>
    <x v="0"/>
    <n v="168007"/>
    <n v="168230"/>
    <n v="0"/>
    <s v="2014,04,2305:01:45"/>
    <n v="168230"/>
    <x v="0"/>
    <m/>
    <m/>
    <n v="1315.7"/>
  </r>
  <r>
    <m/>
    <m/>
    <x v="1"/>
    <m/>
    <x v="1"/>
    <m/>
    <m/>
    <m/>
    <m/>
    <n v="8855"/>
    <x v="1"/>
    <n v="0"/>
    <n v="0"/>
    <m/>
  </r>
  <r>
    <n v="21093248"/>
    <s v="2014,04,2306:05:36"/>
    <x v="0"/>
    <n v="3.98"/>
    <x v="5"/>
    <n v="138225"/>
    <n v="138040"/>
    <n v="0"/>
    <s v="2014,04,2307:07:54"/>
    <n v="138040"/>
    <x v="0"/>
    <m/>
    <m/>
    <n v="-736.3"/>
  </r>
  <r>
    <m/>
    <m/>
    <x v="1"/>
    <m/>
    <x v="1"/>
    <m/>
    <m/>
    <m/>
    <m/>
    <n v="8855"/>
    <x v="1"/>
    <n v="0"/>
    <n v="0"/>
    <m/>
  </r>
  <r>
    <n v="21091808"/>
    <s v="2014,04,2301:30:08"/>
    <x v="0"/>
    <n v="5.34"/>
    <x v="3"/>
    <n v="110373"/>
    <n v="110240"/>
    <n v="0"/>
    <s v="2014,04,2311:39:22"/>
    <n v="110240"/>
    <x v="0"/>
    <m/>
    <m/>
    <n v="-644.25"/>
  </r>
  <r>
    <m/>
    <m/>
    <x v="1"/>
    <m/>
    <x v="1"/>
    <m/>
    <m/>
    <m/>
    <m/>
    <n v="8855"/>
    <x v="1"/>
    <n v="0"/>
    <n v="-10.77"/>
    <m/>
  </r>
  <r>
    <n v="21087334"/>
    <s v="2014,04,2214:36:05"/>
    <x v="0"/>
    <n v="1.78"/>
    <x v="3"/>
    <n v="110385"/>
    <n v="110220"/>
    <n v="0"/>
    <s v="2014,04,2311:42:37"/>
    <n v="110220"/>
    <x v="2"/>
    <m/>
    <m/>
    <n v="-266.47000000000003"/>
  </r>
  <r>
    <m/>
    <m/>
    <x v="1"/>
    <m/>
    <x v="1"/>
    <m/>
    <m/>
    <m/>
    <m/>
    <n v="8855"/>
    <x v="1"/>
    <n v="0"/>
    <n v="-21.36"/>
    <m/>
  </r>
  <r>
    <n v="21073296"/>
    <s v="2014,04,2105:27:38"/>
    <x v="0"/>
    <n v="9.73"/>
    <x v="0"/>
    <n v="168067"/>
    <n v="167700"/>
    <n v="0"/>
    <s v="2014,04,2314:45:21"/>
    <n v="167700"/>
    <x v="3"/>
    <m/>
    <m/>
    <n v="-3570.91"/>
  </r>
  <r>
    <m/>
    <m/>
    <x v="1"/>
    <m/>
    <x v="1"/>
    <m/>
    <m/>
    <m/>
    <m/>
    <n v="8855"/>
    <x v="1"/>
    <n v="0"/>
    <n v="0"/>
    <m/>
  </r>
  <r>
    <n v="21097886"/>
    <s v="2014,04,2313:36:58"/>
    <x v="0"/>
    <n v="2.4700000000000002"/>
    <x v="3"/>
    <n v="110515"/>
    <n v="110220"/>
    <n v="0"/>
    <s v="2014,04,2316:09:15"/>
    <n v="110220"/>
    <x v="0"/>
    <m/>
    <m/>
    <n v="-661.09"/>
  </r>
  <r>
    <m/>
    <m/>
    <x v="1"/>
    <m/>
    <x v="1"/>
    <m/>
    <m/>
    <m/>
    <m/>
    <n v="8855"/>
    <x v="1"/>
    <n v="0"/>
    <n v="0"/>
    <m/>
  </r>
  <r>
    <n v="21097887"/>
    <s v="2014,04,2313:36:59"/>
    <x v="0"/>
    <n v="4.9400000000000004"/>
    <x v="3"/>
    <n v="110515"/>
    <n v="110220"/>
    <n v="0"/>
    <s v="2014,04,2316:09:15"/>
    <n v="110220"/>
    <x v="2"/>
    <m/>
    <m/>
    <n v="-1322.17"/>
  </r>
  <r>
    <m/>
    <m/>
    <x v="1"/>
    <m/>
    <x v="1"/>
    <m/>
    <m/>
    <m/>
    <m/>
    <n v="8855"/>
    <x v="1"/>
    <n v="0"/>
    <n v="0"/>
    <m/>
  </r>
  <r>
    <n v="21092539"/>
    <s v="2014,04,2303:27:12"/>
    <x v="2"/>
    <n v="0.75"/>
    <x v="6"/>
    <n v="0.92832999999999999"/>
    <n v="0.92930000000000001"/>
    <n v="0"/>
    <s v="2014,04,2320:31:07"/>
    <n v="0.92930000000000001"/>
    <x v="0"/>
    <m/>
    <m/>
    <n v="-72.75"/>
  </r>
  <r>
    <m/>
    <m/>
    <x v="1"/>
    <m/>
    <x v="1"/>
    <m/>
    <m/>
    <m/>
    <m/>
    <n v="8855"/>
    <x v="1"/>
    <n v="0"/>
    <n v="0"/>
    <m/>
  </r>
  <r>
    <n v="21102883"/>
    <s v="2014,04,2400:01:44"/>
    <x v="0"/>
    <n v="4.29"/>
    <x v="6"/>
    <n v="0.92959999999999998"/>
    <n v="0.92830000000000001"/>
    <n v="0"/>
    <s v="2014,04,2402:58:17"/>
    <n v="0.92830000000000001"/>
    <x v="0"/>
    <m/>
    <m/>
    <n v="-557.70000000000005"/>
  </r>
  <r>
    <m/>
    <m/>
    <x v="1"/>
    <m/>
    <x v="1"/>
    <m/>
    <m/>
    <m/>
    <m/>
    <n v="8855"/>
    <x v="1"/>
    <n v="0"/>
    <n v="0"/>
    <m/>
  </r>
  <r>
    <n v="21103530"/>
    <s v="2014,04,2402:21:13"/>
    <x v="0"/>
    <n v="4.2699999999999996"/>
    <x v="5"/>
    <n v="138265"/>
    <n v="138170"/>
    <n v="0"/>
    <s v="2014,04,2406:02:39"/>
    <n v="138170"/>
    <x v="0"/>
    <m/>
    <m/>
    <n v="-405.65"/>
  </r>
  <r>
    <m/>
    <m/>
    <x v="1"/>
    <m/>
    <x v="1"/>
    <m/>
    <m/>
    <m/>
    <m/>
    <n v="8855"/>
    <x v="1"/>
    <n v="0"/>
    <n v="-17.71"/>
    <m/>
  </r>
  <r>
    <n v="21094583"/>
    <s v="2014,04,2308:11:32"/>
    <x v="2"/>
    <n v="3"/>
    <x v="4"/>
    <n v="0.88253999999999999"/>
    <n v="0.88370000000000004"/>
    <n v="0"/>
    <s v="2014,04,2406:10:07"/>
    <n v="0.88370000000000004"/>
    <x v="0"/>
    <m/>
    <m/>
    <n v="-393.8"/>
  </r>
  <r>
    <m/>
    <m/>
    <x v="1"/>
    <m/>
    <x v="1"/>
    <m/>
    <m/>
    <m/>
    <m/>
    <n v="8855"/>
    <x v="1"/>
    <n v="0"/>
    <n v="-42.12"/>
    <m/>
  </r>
  <r>
    <n v="21094512"/>
    <s v="2014,04,2308:02:18"/>
    <x v="0"/>
    <n v="3.74"/>
    <x v="2"/>
    <n v="0.82264999999999999"/>
    <n v="0.82279999999999998"/>
    <n v="0"/>
    <s v="2014,04,2406:35:36"/>
    <n v="0.82279999999999998"/>
    <x v="0"/>
    <m/>
    <m/>
    <n v="94.18"/>
  </r>
  <r>
    <m/>
    <m/>
    <x v="1"/>
    <m/>
    <x v="1"/>
    <m/>
    <m/>
    <m/>
    <m/>
    <n v="8855"/>
    <x v="1"/>
    <n v="0"/>
    <n v="-25.24"/>
    <m/>
  </r>
  <r>
    <n v="21096026"/>
    <s v="2014,04,2310:14:49"/>
    <x v="2"/>
    <n v="1.87"/>
    <x v="0"/>
    <n v="167853"/>
    <n v="167950"/>
    <n v="0"/>
    <s v="2014,04,2406:36:41"/>
    <n v="167950"/>
    <x v="0"/>
    <m/>
    <m/>
    <n v="-181.39"/>
  </r>
  <r>
    <m/>
    <m/>
    <x v="1"/>
    <m/>
    <x v="1"/>
    <m/>
    <m/>
    <m/>
    <m/>
    <n v="8855"/>
    <x v="1"/>
    <n v="0"/>
    <n v="0"/>
    <m/>
  </r>
  <r>
    <n v="21105547"/>
    <s v="2014,04,2408:00:07"/>
    <x v="0"/>
    <n v="3.34"/>
    <x v="5"/>
    <n v="138378"/>
    <n v="138180"/>
    <n v="0"/>
    <s v="2014,04,2409:00:07"/>
    <n v="138180"/>
    <x v="0"/>
    <m/>
    <m/>
    <n v="-661.32"/>
  </r>
  <r>
    <m/>
    <m/>
    <x v="1"/>
    <m/>
    <x v="1"/>
    <m/>
    <m/>
    <m/>
    <m/>
    <n v="8855"/>
    <x v="1"/>
    <n v="0"/>
    <n v="0"/>
    <m/>
  </r>
  <r>
    <n v="21104850"/>
    <s v="2014,04,2406:54:07"/>
    <x v="2"/>
    <n v="4.4800000000000004"/>
    <x v="4"/>
    <n v="0.88224000000000002"/>
    <n v="0.88339999999999996"/>
    <n v="0"/>
    <s v="2014,04,2409:00:25"/>
    <n v="0.88339999999999996"/>
    <x v="0"/>
    <m/>
    <m/>
    <n v="-588.27"/>
  </r>
  <r>
    <m/>
    <m/>
    <x v="1"/>
    <m/>
    <x v="1"/>
    <m/>
    <m/>
    <m/>
    <m/>
    <n v="8855"/>
    <x v="1"/>
    <n v="0"/>
    <n v="0"/>
    <m/>
  </r>
  <r>
    <n v="21104777"/>
    <s v="2014,04,2406:43:21"/>
    <x v="0"/>
    <n v="4.17"/>
    <x v="0"/>
    <n v="167950"/>
    <n v="167790"/>
    <n v="0"/>
    <s v="2014,04,2410:22:41"/>
    <n v="167790"/>
    <x v="0"/>
    <m/>
    <m/>
    <n v="-667.2"/>
  </r>
  <r>
    <m/>
    <m/>
    <x v="1"/>
    <m/>
    <x v="1"/>
    <m/>
    <m/>
    <m/>
    <m/>
    <n v="8855"/>
    <x v="1"/>
    <n v="0"/>
    <n v="-26.75"/>
    <m/>
  </r>
  <r>
    <n v="21094590"/>
    <s v="2014,04,2308:11:36"/>
    <x v="2"/>
    <n v="4.53"/>
    <x v="4"/>
    <n v="0.88244"/>
    <n v="0.88419999999999999"/>
    <n v="0"/>
    <s v="2014,04,2412:36:53"/>
    <n v="0.88419999999999999"/>
    <x v="2"/>
    <m/>
    <m/>
    <n v="-901.7"/>
  </r>
  <r>
    <m/>
    <m/>
    <x v="1"/>
    <m/>
    <x v="1"/>
    <m/>
    <m/>
    <m/>
    <m/>
    <n v="8855"/>
    <x v="1"/>
    <n v="0"/>
    <n v="0"/>
    <m/>
  </r>
  <r>
    <n v="21105557"/>
    <s v="2014,04,2408:00:09"/>
    <x v="0"/>
    <n v="3.03"/>
    <x v="2"/>
    <n v="0.82435000000000003"/>
    <n v="0.82220000000000004"/>
    <n v="0"/>
    <s v="2014,04,2412:59:04"/>
    <n v="0.82220000000000004"/>
    <x v="0"/>
    <m/>
    <m/>
    <n v="-1092.6500000000001"/>
  </r>
  <r>
    <m/>
    <m/>
    <x v="1"/>
    <m/>
    <x v="1"/>
    <m/>
    <m/>
    <m/>
    <m/>
    <n v="8855"/>
    <x v="1"/>
    <n v="0"/>
    <n v="0"/>
    <m/>
  </r>
  <r>
    <n v="21106841"/>
    <s v="2014,04,2410:23:13"/>
    <x v="2"/>
    <n v="4.3499999999999996"/>
    <x v="3"/>
    <n v="110204"/>
    <n v="110340"/>
    <n v="0"/>
    <s v="2014,04,2414:25:50"/>
    <n v="110340"/>
    <x v="0"/>
    <m/>
    <m/>
    <n v="-536.16"/>
  </r>
  <r>
    <m/>
    <m/>
    <x v="1"/>
    <m/>
    <x v="1"/>
    <m/>
    <m/>
    <m/>
    <m/>
    <n v="8855"/>
    <x v="1"/>
    <n v="0"/>
    <n v="0"/>
    <m/>
  </r>
  <r>
    <n v="21109309"/>
    <s v="2014,04,2412:59:06"/>
    <x v="2"/>
    <n v="3.95"/>
    <x v="2"/>
    <n v="0.82221999999999995"/>
    <n v="0.82379999999999998"/>
    <n v="0"/>
    <s v="2014,04,2421:00:00"/>
    <n v="0.82379999999999998"/>
    <x v="0"/>
    <m/>
    <m/>
    <n v="-1048.8900000000001"/>
  </r>
  <r>
    <m/>
    <m/>
    <x v="1"/>
    <m/>
    <x v="1"/>
    <m/>
    <m/>
    <m/>
    <m/>
    <n v="8855"/>
    <x v="1"/>
    <n v="0"/>
    <n v="-146.68"/>
    <m/>
  </r>
  <r>
    <n v="21091970"/>
    <s v="2014,04,2301:50:32"/>
    <x v="2"/>
    <n v="4.37"/>
    <x v="6"/>
    <n v="0.93052000000000001"/>
    <n v="0.92769999999999997"/>
    <n v="0"/>
    <s v="2014,04,2503:46:42"/>
    <n v="0.92769999999999997"/>
    <x v="2"/>
    <m/>
    <m/>
    <n v="1232.3399999999999"/>
  </r>
  <r>
    <m/>
    <m/>
    <x v="1"/>
    <m/>
    <x v="1"/>
    <m/>
    <m/>
    <m/>
    <m/>
    <n v="8855"/>
    <x v="1"/>
    <n v="0"/>
    <n v="0"/>
    <m/>
  </r>
  <r>
    <n v="21119374"/>
    <s v="2014,04,2508:30:05"/>
    <x v="2"/>
    <n v="5.19"/>
    <x v="2"/>
    <n v="0.82223000000000002"/>
    <n v="0.82340000000000002"/>
    <n v="0"/>
    <s v="2014,04,2508:32:31"/>
    <n v="0.82340000000000002"/>
    <x v="0"/>
    <m/>
    <m/>
    <n v="-1020.88"/>
  </r>
  <r>
    <m/>
    <m/>
    <x v="1"/>
    <m/>
    <x v="1"/>
    <m/>
    <m/>
    <m/>
    <m/>
    <n v="8855"/>
    <x v="1"/>
    <n v="0"/>
    <n v="0"/>
    <m/>
  </r>
  <r>
    <n v="21121141"/>
    <s v="2014,04,2511:12:22"/>
    <x v="0"/>
    <n v="2.4500000000000002"/>
    <x v="6"/>
    <n v="0.92935000000000001"/>
    <n v="0.92789999999999995"/>
    <n v="0"/>
    <s v="2014,04,2513:13:40"/>
    <n v="0.92789999999999995"/>
    <x v="0"/>
    <m/>
    <m/>
    <n v="-355.25"/>
  </r>
  <r>
    <m/>
    <m/>
    <x v="1"/>
    <m/>
    <x v="1"/>
    <m/>
    <m/>
    <m/>
    <m/>
    <n v="8855"/>
    <x v="1"/>
    <n v="0"/>
    <n v="0"/>
    <m/>
  </r>
  <r>
    <n v="21119388"/>
    <s v="2014,04,2508:30:16"/>
    <x v="0"/>
    <n v="5.42"/>
    <x v="0"/>
    <n v="168172"/>
    <n v="168070"/>
    <n v="0"/>
    <s v="2014,04,2514:56:13"/>
    <n v="168070"/>
    <x v="2"/>
    <m/>
    <m/>
    <n v="-552.84"/>
  </r>
  <r>
    <m/>
    <m/>
    <x v="1"/>
    <m/>
    <x v="1"/>
    <m/>
    <m/>
    <m/>
    <m/>
    <n v="8855"/>
    <x v="1"/>
    <n v="0"/>
    <n v="0"/>
    <m/>
  </r>
  <r>
    <n v="21121188"/>
    <s v="2014,04,2511:18:07"/>
    <x v="2"/>
    <n v="4.41"/>
    <x v="3"/>
    <n v="110184"/>
    <n v="110320"/>
    <n v="0"/>
    <s v="2014,04,2515:00:05"/>
    <n v="110320"/>
    <x v="0"/>
    <m/>
    <m/>
    <n v="-543.65"/>
  </r>
  <r>
    <m/>
    <m/>
    <x v="1"/>
    <m/>
    <x v="1"/>
    <m/>
    <m/>
    <m/>
    <m/>
    <n v="8855"/>
    <x v="1"/>
    <n v="0"/>
    <n v="0"/>
    <m/>
  </r>
  <r>
    <n v="21119402"/>
    <s v="2014,04,2508:30:40"/>
    <x v="0"/>
    <n v="3.11"/>
    <x v="0"/>
    <n v="168151"/>
    <n v="168040"/>
    <n v="0"/>
    <s v="2014,04,2515:29:55"/>
    <n v="168040"/>
    <x v="0"/>
    <m/>
    <m/>
    <n v="-345.21"/>
  </r>
  <r>
    <m/>
    <m/>
    <x v="1"/>
    <m/>
    <x v="1"/>
    <m/>
    <m/>
    <m/>
    <m/>
    <n v="8855"/>
    <x v="1"/>
    <n v="0"/>
    <n v="0"/>
    <m/>
  </r>
  <r>
    <n v="21119366"/>
    <s v="2014,04,2508:30:04"/>
    <x v="2"/>
    <n v="8.9600000000000009"/>
    <x v="2"/>
    <n v="0.82237000000000005"/>
    <n v="0.82379999999999998"/>
    <n v="0"/>
    <s v="2014,04,2516:23:07"/>
    <n v="0.82379999999999998"/>
    <x v="2"/>
    <m/>
    <m/>
    <n v="-2152.42"/>
  </r>
  <r>
    <m/>
    <m/>
    <x v="1"/>
    <m/>
    <x v="1"/>
    <m/>
    <m/>
    <m/>
    <m/>
    <n v="8855"/>
    <x v="1"/>
    <n v="0"/>
    <n v="-6.06"/>
    <m/>
  </r>
  <r>
    <n v="21119914"/>
    <s v="2014,04,2509:20:12"/>
    <x v="2"/>
    <n v="3.08"/>
    <x v="4"/>
    <n v="0.88021000000000005"/>
    <n v="0.88190000000000002"/>
    <n v="0"/>
    <s v="2014,04,2800:27:20"/>
    <n v="0.88190000000000002"/>
    <x v="0"/>
    <m/>
    <m/>
    <n v="-590.23"/>
  </r>
  <r>
    <m/>
    <m/>
    <x v="1"/>
    <m/>
    <x v="1"/>
    <m/>
    <m/>
    <m/>
    <m/>
    <n v="8855"/>
    <x v="1"/>
    <n v="0"/>
    <n v="0"/>
    <m/>
  </r>
  <r>
    <n v="21127635"/>
    <s v="2014,04,2800:19:49"/>
    <x v="0"/>
    <n v="3.58"/>
    <x v="2"/>
    <n v="0.82435000000000003"/>
    <n v="0.82279999999999998"/>
    <n v="0"/>
    <s v="2014,04,2806:14:22"/>
    <n v="0.82279999999999998"/>
    <x v="0"/>
    <m/>
    <m/>
    <n v="-931.96"/>
  </r>
  <r>
    <m/>
    <m/>
    <x v="1"/>
    <m/>
    <x v="1"/>
    <m/>
    <m/>
    <m/>
    <m/>
    <n v="8855"/>
    <x v="1"/>
    <n v="0"/>
    <n v="-13.37"/>
    <m/>
  </r>
  <r>
    <n v="21124515"/>
    <s v="2014,04,2516:04:08"/>
    <x v="0"/>
    <n v="2.21"/>
    <x v="3"/>
    <n v="110491"/>
    <n v="110260"/>
    <n v="0"/>
    <s v="2014,04,2806:26:34"/>
    <n v="110260"/>
    <x v="0"/>
    <m/>
    <m/>
    <n v="-463.01"/>
  </r>
  <r>
    <m/>
    <m/>
    <x v="1"/>
    <m/>
    <x v="1"/>
    <m/>
    <m/>
    <m/>
    <m/>
    <n v="8855"/>
    <x v="1"/>
    <n v="0"/>
    <n v="0"/>
    <m/>
  </r>
  <r>
    <n v="21129706"/>
    <s v="2014,04,2806:30:54"/>
    <x v="2"/>
    <n v="3.27"/>
    <x v="2"/>
    <n v="0.82223999999999997"/>
    <n v="0.82389999999999997"/>
    <n v="0"/>
    <s v="2014,04,2809:01:01"/>
    <n v="0.82389999999999997"/>
    <x v="0"/>
    <m/>
    <m/>
    <n v="-914.45"/>
  </r>
  <r>
    <m/>
    <m/>
    <x v="1"/>
    <m/>
    <x v="1"/>
    <m/>
    <m/>
    <m/>
    <m/>
    <n v="8855"/>
    <x v="4"/>
    <m/>
    <m/>
    <m/>
  </r>
  <r>
    <m/>
    <m/>
    <x v="1"/>
    <m/>
    <x v="1"/>
    <m/>
    <m/>
    <m/>
    <m/>
    <m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Moeda" colHeaderCaption="Periodo">
  <location ref="A3:F11" firstHeaderRow="1" firstDataRow="2" firstDataCol="1" rowPageCount="1" colPageCount="1"/>
  <pivotFields count="14">
    <pivotField showAll="0"/>
    <pivotField showAll="0"/>
    <pivotField axis="axisRow" showAll="0">
      <items count="5">
        <item m="1" x="3"/>
        <item x="0"/>
        <item x="2"/>
        <item x="1"/>
        <item t="default"/>
      </items>
    </pivotField>
    <pivotField showAll="0"/>
    <pivotField axis="axisRow" showAll="0">
      <items count="8">
        <item sd="0" x="6"/>
        <item sd="0" x="2"/>
        <item sd="0" x="5"/>
        <item sd="0" x="0"/>
        <item sd="0" x="3"/>
        <item sd="0" x="4"/>
        <item h="1"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1"/>
        <item n="H1" x="0"/>
        <item n="H4" x="2"/>
        <item n="D1" x="3"/>
        <item x="4"/>
        <item t="default"/>
      </items>
    </pivotField>
    <pivotField showAll="0"/>
    <pivotField showAll="0"/>
    <pivotField dataField="1" showAll="0"/>
  </pivotFields>
  <rowFields count="2">
    <field x="4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0" item="1" hier="-1"/>
  </pageFields>
  <dataFields count="5">
    <dataField name="Trades" fld="13" subtotal="count" baseField="0" baseItem="0"/>
    <dataField name="Total Profit" fld="13" baseField="0" baseItem="0" numFmtId="44"/>
    <dataField name="Média" fld="13" subtotal="average" baseField="0" baseItem="0" numFmtId="44"/>
    <dataField name="DesvPad de Profit" fld="13" subtotal="stdDev" baseField="0" baseItem="0" numFmtId="44"/>
    <dataField name="Var de Profit" fld="13" subtotal="var" baseField="0" baseItem="0" numFmtId="4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K95" headerRowDxfId="363" dataDxfId="362" totalsRowDxfId="361">
  <autoFilter ref="A1:AK95">
    <filterColumn colId="36"/>
  </autoFilter>
  <sortState ref="A2:AJ89">
    <sortCondition ref="E1:E89"/>
  </sortState>
  <tableColumns count="37">
    <tableColumn id="19" name="ID" totalsRowFunction="max" dataDxfId="360" totalsRowDxfId="359"/>
    <tableColumn id="36" name="U" dataDxfId="358" totalsRowDxfId="357"/>
    <tableColumn id="2" name="ATIVO" dataDxfId="356" totalsRowDxfId="355"/>
    <tableColumn id="3" name="T" dataDxfId="354" totalsRowDxfId="353"/>
    <tableColumn id="4" name="DATA" dataDxfId="352" totalsRowDxfId="351"/>
    <tableColumn id="5" name="QTDE" dataDxfId="350" totalsRowDxfId="349"/>
    <tableColumn id="6" name="PREÇO" totalsRowFunction="custom" dataDxfId="348" totalsRowDxfId="347">
      <totalsRowFormula>NC[[#Totals],[ID]]*14.9</totalsRowFormula>
    </tableColumn>
    <tableColumn id="37" name="PARCIAL" dataDxfId="346" totalsRowDxfId="345"/>
    <tableColumn id="40" name="AJUSTE" dataDxfId="344" totalsRowDxfId="343"/>
    <tableColumn id="7" name="[D/N]" totalsRowFunction="custom" dataDxfId="342" totalsRowDxfId="341">
      <totalsRowFormula>NC[[#Totals],[LUCRO P/ OP]]+NC[[#Totals],[PREÇO]]</totalsRowFormula>
    </tableColumn>
    <tableColumn id="34" name="DATA DE LIQUIDAÇÃO" dataDxfId="340" totalsRowDxfId="339">
      <calculatedColumnFormula>WORKDAY(NC[[#This Row],[DATA]],1,0)</calculatedColumnFormula>
    </tableColumn>
    <tableColumn id="31" name="DATA BASE" dataDxfId="338" totalsRowDxfId="337">
      <calculatedColumnFormula>EOMONTH(NC[[#This Row],[DATA DE LIQUIDAÇÃO]],0)</calculatedColumnFormula>
    </tableColumn>
    <tableColumn id="21" name="PAR" dataDxfId="336" totalsRowDxfId="335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34" totalsRowDxfId="333">
      <calculatedColumnFormula>[QTDE]*[PREÇO]</calculatedColumnFormula>
    </tableColumn>
    <tableColumn id="9" name="VALOR LÍQUIDO DAS OPERAÇÕES" dataDxfId="332" totalsRowDxfId="331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30" totalsRowDxfId="329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28" totalsRowDxfId="327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26" totalsRowDxfId="325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24" totalsRowDxfId="323">
      <calculatedColumnFormula>SETUP!$E$3 * IF([PARCIAL] &gt; 0, [QTDE] / [PARCIAL], 1)</calculatedColumnFormula>
    </tableColumn>
    <tableColumn id="12" name="CORRETAGEM" dataDxfId="322" totalsRowDxfId="321">
      <calculatedColumnFormula>SUMPRODUCT(N([DATA]=NC[[#This Row],[DATA]]),N([ID]&lt;=NC[[#This Row],[ID]]), [CORR])</calculatedColumnFormula>
    </tableColumn>
    <tableColumn id="13" name="ISS" dataDxfId="320" totalsRowDxfId="319">
      <calculatedColumnFormula>TRUNC([CORRETAGEM]*SETUP!$F$3,2)</calculatedColumnFormula>
    </tableColumn>
    <tableColumn id="15" name="OUTRAS BOVESPA" dataDxfId="318" totalsRowDxfId="317">
      <calculatedColumnFormula>ROUND([CORRETAGEM]*SETUP!$G$3,2)</calculatedColumnFormula>
    </tableColumn>
    <tableColumn id="16" name="LÍQUIDO BASE" dataDxfId="316" totalsRowDxfId="315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314" totalsRowDxfId="313">
      <calculatedColumnFormula>IF(AND(['[D/N']]="D",    [T]="CV",    [LÍQUIDO BASE] &gt; 0),    TRUNC([LÍQUIDO BASE]*0.01, 2),    0)</calculatedColumnFormula>
    </tableColumn>
    <tableColumn id="35" name="LÍQUIDO" dataDxfId="312" totalsRowDxfId="311">
      <calculatedColumnFormula>IF([PREÇO] &gt; 0,    [LÍQUIDO BASE]-SUMPRODUCT(N([DATA]=NC[[#This Row],[DATA]]),    [IRRF FONTE]),    0)</calculatedColumnFormula>
    </tableColumn>
    <tableColumn id="17" name="VALOR OP" dataDxfId="310" totalsRowDxfId="309">
      <calculatedColumnFormula>[LÍQUIDO]-SUMPRODUCT(N([DATA]=NC[[#This Row],[DATA]]),N([ID]=(NC[[#This Row],[ID]]-1)),[LÍQUIDO])</calculatedColumnFormula>
    </tableColumn>
    <tableColumn id="18" name="MEDIO P/ OP" dataDxfId="308" totalsRowDxfId="307">
      <calculatedColumnFormula>IF([T] = "VC", ABS([VALOR OP]) / [QTDE], [VALOR OP]/[QTDE])</calculatedColumnFormula>
    </tableColumn>
    <tableColumn id="20" name="IRRF" totalsRowFunction="sum" dataDxfId="306" totalsRowDxfId="305">
      <calculatedColumnFormula>TRUNC(IF(OR([T]="CV",[T]="VV"),     N2*SETUP!$H$3,     0),2)</calculatedColumnFormula>
    </tableColumn>
    <tableColumn id="24" name="SALDO" dataDxfId="304" totalsRowDxfId="303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302" totalsRowDxfId="301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300" totalsRowDxfId="299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98" totalsRowDxfId="297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96" totalsRowDxfId="295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94" totalsRowDxfId="293">
      <calculatedColumnFormula>IF([U] = "U", SUMPRODUCT(N([ID]&lt;=NC[[#This Row],[ID]]),N([DATA BASE]=NC[[#This Row],[DATA BASE]]), N(['[D/N']] = "N"),    [LUCRO P/ OP]), 0)</calculatedColumnFormula>
    </tableColumn>
    <tableColumn id="39" name="LUCRO [D]" dataDxfId="292" totalsRowDxfId="291">
      <calculatedColumnFormula>IF([U] = "U", SUMPRODUCT(N([DATA BASE]=NC[[#This Row],[DATA BASE]]), N(['[D/N']] = "D"),    [LUCRO P/ OP]), 0)</calculatedColumnFormula>
    </tableColumn>
    <tableColumn id="30" name="IRRF DT" dataDxfId="290" totalsRowDxfId="289">
      <calculatedColumnFormula>IF([U] = "U", SUMPRODUCT(N([DATA BASE]=NC[[#This Row],[DATA BASE]]), N(['[D/N']] = "D"),    [IRRF FONTE]), 0)</calculatedColumnFormula>
    </tableColumn>
    <tableColumn id="14" name="Colunas1" dataDxfId="288" totalsRowDxfId="287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286" dataDxfId="285" totalsRowDxfId="284">
  <autoFilter ref="A1:AK61"/>
  <sortState ref="A2:AK61">
    <sortCondition ref="E1:E61"/>
  </sortState>
  <tableColumns count="37">
    <tableColumn id="19" name="ID" totalsRowFunction="max" dataDxfId="283" totalsRowDxfId="282"/>
    <tableColumn id="36" name="U" dataDxfId="281" totalsRowDxfId="280"/>
    <tableColumn id="2" name="ATIVO" dataDxfId="279" totalsRowDxfId="278"/>
    <tableColumn id="3" name="T" dataDxfId="277" totalsRowDxfId="276"/>
    <tableColumn id="4" name="DATA" dataDxfId="275" totalsRowDxfId="274"/>
    <tableColumn id="5" name="QTDE" dataDxfId="273" totalsRowDxfId="272"/>
    <tableColumn id="6" name="PREÇO" dataDxfId="271" totalsRowDxfId="270"/>
    <tableColumn id="37" name="PARCIAL" dataDxfId="269" totalsRowDxfId="268"/>
    <tableColumn id="40" name="AJUSTE" dataDxfId="267" totalsRowDxfId="266"/>
    <tableColumn id="7" name="[D/N]" dataDxfId="265" totalsRowDxfId="264"/>
    <tableColumn id="34" name="DATA DE LIQUIDAÇÃO" dataDxfId="263" totalsRowDxfId="262">
      <calculatedColumnFormula>WORKDAY(NOTAS_80[[#This Row],[DATA]],1,0)</calculatedColumnFormula>
    </tableColumn>
    <tableColumn id="31" name="DATA BASE" dataDxfId="261" totalsRowDxfId="260">
      <calculatedColumnFormula>EOMONTH(NOTAS_80[[#This Row],[DATA DE LIQUIDAÇÃO]],0)</calculatedColumnFormula>
    </tableColumn>
    <tableColumn id="21" name="PAR" dataDxfId="259" totalsRowDxfId="258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57" totalsRowDxfId="256">
      <calculatedColumnFormula>[QTDE]*[PREÇO]</calculatedColumnFormula>
    </tableColumn>
    <tableColumn id="9" name="VALOR LÍQUIDO DAS OPERAÇÕES" dataDxfId="255" totalsRowDxfId="254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53" totalsRowDxfId="252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51" totalsRowDxfId="250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49" totalsRowDxfId="248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47" totalsRowDxfId="246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45" totalsRowDxfId="244">
      <calculatedColumnFormula>TRUNC([CORR BOV] * 20% * IF([PARCIAL] &gt; 0, [QTDE] / [PARCIAL], 1),2)</calculatedColumnFormula>
    </tableColumn>
    <tableColumn id="12" name="CORRETAGEM" dataDxfId="243" totalsRowDxfId="242">
      <calculatedColumnFormula>SUMPRODUCT(N([DATA]=NOTAS_80[[#This Row],[DATA]]),N([ID]&lt;=NOTAS_80[[#This Row],[ID]]), [CORR])</calculatedColumnFormula>
    </tableColumn>
    <tableColumn id="13" name="ISS" dataDxfId="241" totalsRowDxfId="240">
      <calculatedColumnFormula>TRUNC([CORRETAGEM]*SETUP!$F$3,2)</calculatedColumnFormula>
    </tableColumn>
    <tableColumn id="15" name="OUTRAS BOVESPA" dataDxfId="239" totalsRowDxfId="238">
      <calculatedColumnFormula>ROUND([CORRETAGEM]*SETUP!$G$3,2)</calculatedColumnFormula>
    </tableColumn>
    <tableColumn id="16" name="LÍQUIDO BASE" dataDxfId="237" totalsRowDxfId="236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35" totalsRowDxfId="234">
      <calculatedColumnFormula>IF(AND(['[D/N']]="D",    [T]="CV",    [LÍQUIDO BASE] &gt; 0),    TRUNC([LÍQUIDO BASE]*0.01, 2),    0)</calculatedColumnFormula>
    </tableColumn>
    <tableColumn id="35" name="LÍQUIDO" dataDxfId="233" totalsRowDxfId="232">
      <calculatedColumnFormula>IF([PREÇO] &gt; 0,    [LÍQUIDO BASE]-SUMPRODUCT(N([DATA]=NOTAS_80[[#This Row],[DATA]]),    [IRRF FONTE]),    0)</calculatedColumnFormula>
    </tableColumn>
    <tableColumn id="17" name="VALOR OP" dataDxfId="231" totalsRowDxfId="230">
      <calculatedColumnFormula>[LÍQUIDO]-SUMPRODUCT(N([DATA]=NOTAS_80[[#This Row],[DATA]]),N([ID]=(NOTAS_80[[#This Row],[ID]]-1)),[LÍQUIDO])</calculatedColumnFormula>
    </tableColumn>
    <tableColumn id="18" name="MEDIO P/ OP" dataDxfId="229" totalsRowDxfId="228">
      <calculatedColumnFormula>IF([T] = "VC", ABS([VALOR OP]) / [QTDE], [VALOR OP]/[QTDE])</calculatedColumnFormula>
    </tableColumn>
    <tableColumn id="20" name="IRRF" totalsRowFunction="sum" dataDxfId="227" totalsRowDxfId="226">
      <calculatedColumnFormula>TRUNC(IF(OR([T]="CV",[T]="VV"),     N2*SETUP!$H$3,     0),2)</calculatedColumnFormula>
    </tableColumn>
    <tableColumn id="24" name="SALDO" dataDxfId="225" totalsRowDxfId="224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23" totalsRowDxfId="222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21" totalsRowDxfId="220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19" totalsRowDxfId="218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17" totalsRowDxfId="216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15" totalsRowDxfId="214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213" totalsRowDxfId="212">
      <calculatedColumnFormula>IF([U] = "U", SUMPRODUCT(N([DATA BASE]=NOTAS_80[[#This Row],[DATA BASE]]), N(['[D/N']] = "D"),    [LUCRO P/ OP]), 0)</calculatedColumnFormula>
    </tableColumn>
    <tableColumn id="30" name="IRRF DT" dataDxfId="211" totalsRowDxfId="210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09" dataDxfId="208">
  <autoFilter ref="A1:N5"/>
  <tableColumns count="14">
    <tableColumn id="1" name="DATA" totalsRowLabel="Total" dataDxfId="207" totalsRowDxfId="206"/>
    <tableColumn id="2" name="LUCRO [N]" dataDxfId="205" totalsRowDxfId="204"/>
    <tableColumn id="3" name="DEDUÇÃO [N]" dataDxfId="203" totalsRowDxfId="202"/>
    <tableColumn id="8" name="IRRF [N]" dataDxfId="201" totalsRowDxfId="200"/>
    <tableColumn id="4" name="LUCRO [D]" dataDxfId="199" totalsRowDxfId="198"/>
    <tableColumn id="5" name="DEDUÇÃO [D]" dataDxfId="197" totalsRowDxfId="196"/>
    <tableColumn id="9" name="IRRF [D]" dataDxfId="195" totalsRowDxfId="194"/>
    <tableColumn id="6" name="ACC [N]" dataDxfId="193" totalsRowDxfId="192">
      <calculatedColumnFormula>IF([LUCRO '[N']] + [DEDUÇÃO '[N']] &gt; 0, 0, [LUCRO '[N']] + [DEDUÇÃO '[N']])</calculatedColumnFormula>
    </tableColumn>
    <tableColumn id="12" name="ACC [D]" dataDxfId="191" totalsRowDxfId="190">
      <calculatedColumnFormula>IF([LUCRO '[D']] + [DEDUÇÃO '[D']] &gt; 0, 0, [LUCRO '[D']] + [DEDUÇÃO '[D']])</calculatedColumnFormula>
    </tableColumn>
    <tableColumn id="7" name="IR DEVIDO [N]" dataDxfId="189" totalsRowDxfId="188">
      <calculatedColumnFormula>IF([ACC '[N']] = 0, ROUND(([LUCRO '[N']] + [DEDUÇÃO '[N']]) * 15%, 2) - [IRRF '[N']], 0)</calculatedColumnFormula>
    </tableColumn>
    <tableColumn id="10" name="IR DEVIDO [D]" dataDxfId="187" totalsRowDxfId="186">
      <calculatedColumnFormula>IF([ACC '[D']] = 0, ROUND(([LUCRO '[D']] + [DEDUÇÃO '[D']]) * 20%, 2) - [IRRF '[D']], 0)</calculatedColumnFormula>
    </tableColumn>
    <tableColumn id="14" name="IRRF" dataDxfId="185" totalsRowDxfId="184">
      <calculatedColumnFormula>[IRRF '[N']] + [IRRF '[D']]</calculatedColumnFormula>
    </tableColumn>
    <tableColumn id="11" name="IR DEVIDO" dataDxfId="183" totalsRowDxfId="182">
      <calculatedColumnFormula>[IR DEVIDO '[N']] + [IR DEVIDO '[D']]</calculatedColumnFormula>
    </tableColumn>
    <tableColumn id="13" name="LUCRO TOTAL" totalsRowFunction="sum" dataDxfId="181" totalsRowDxfId="180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179" dataDxfId="178">
  <autoFilter ref="A1:K5"/>
  <sortState ref="A2:K4">
    <sortCondition ref="C1:C4"/>
  </sortState>
  <tableColumns count="11">
    <tableColumn id="1" name="PAPEL" totalsRowLabel="Total" dataDxfId="177" totalsRowDxfId="176"/>
    <tableColumn id="10" name="APLICAÇÃO" dataDxfId="175" totalsRowDxfId="174">
      <calculatedColumnFormula>950</calculatedColumnFormula>
    </tableColumn>
    <tableColumn id="2" name="EXERCÍCIO" dataDxfId="173" totalsRowDxfId="172"/>
    <tableColumn id="3" name="PREÇO OPÇÃO" dataDxfId="171" totalsRowDxfId="170"/>
    <tableColumn id="4" name="PREÇO AÇÃO" dataDxfId="169" totalsRowDxfId="168"/>
    <tableColumn id="11" name="QTDE TMP" dataDxfId="167" totalsRowDxfId="166">
      <calculatedColumnFormula>ROUNDDOWN([APLICAÇÃO]/[PREÇO OPÇÃO], 0)</calculatedColumnFormula>
    </tableColumn>
    <tableColumn id="14" name="QTDE" dataDxfId="165" totalsRowDxfId="164">
      <calculatedColumnFormula>[QTDE TMP] - MOD([QTDE TMP], 100)</calculatedColumnFormula>
    </tableColumn>
    <tableColumn id="5" name="TARGET 100%" dataDxfId="163" totalsRowDxfId="162" dataCellStyle="Moeda">
      <calculatedColumnFormula>[EXERCÍCIO] + ([PREÇO OPÇÃO] * 2)</calculatedColumnFormula>
    </tableColumn>
    <tableColumn id="6" name="ALTA 100%" dataDxfId="161" totalsRowDxfId="160">
      <calculatedColumnFormula>[TARGET 100%] / [PREÇO AÇÃO] - 1</calculatedColumnFormula>
    </tableColumn>
    <tableColumn id="12" name="LUCRO* 100%" dataDxfId="159" totalsRowDxfId="158">
      <calculatedColumnFormula>[PREÇO OPÇÃO] * [QTDE]</calculatedColumnFormula>
    </tableColumn>
    <tableColumn id="7" name="GORDURA" dataDxfId="157" totalsRowDxfId="156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55" dataDxfId="154">
  <autoFilter ref="A1:P4"/>
  <tableColumns count="16">
    <tableColumn id="1" name="PAPEL" totalsRowLabel="Total" dataDxfId="153" totalsRowDxfId="152"/>
    <tableColumn id="10" name="RISCO" dataDxfId="151" totalsRowDxfId="150"/>
    <tableColumn id="20" name="PREÇO AÇÃO" dataDxfId="149" totalsRowDxfId="148"/>
    <tableColumn id="7" name="EXERC. VENDA" dataDxfId="147" totalsRowDxfId="146"/>
    <tableColumn id="8" name="PREÇO VENDA" dataDxfId="145" totalsRowDxfId="144"/>
    <tableColumn id="2" name="EXERC. COMPRA" dataDxfId="143" totalsRowDxfId="142"/>
    <tableColumn id="3" name="PREÇO COMPRA" dataDxfId="141" totalsRowDxfId="140"/>
    <tableColumn id="4" name="VOLUME" dataDxfId="139" totalsRowDxfId="138">
      <calculatedColumnFormula>([QTDE] * [PREÇO COMPRA]) + ([QTDE] * [PREÇO VENDA])</calculatedColumnFormula>
    </tableColumn>
    <tableColumn id="18" name="LUCRO P/ OPÇÃO" dataDxfId="137" totalsRowDxfId="136">
      <calculatedColumnFormula>[PREÇO VENDA]-[PREÇO COMPRA]</calculatedColumnFormula>
    </tableColumn>
    <tableColumn id="19" name="PERDA P/ OPÇÃO" dataDxfId="135" totalsRowDxfId="134">
      <calculatedColumnFormula>(0.01 - [PREÇO COMPRA]) + ([PREÇO VENDA] - ([EXERC. COMPRA]-[EXERC. VENDA]+0.01))</calculatedColumnFormula>
    </tableColumn>
    <tableColumn id="11" name="QTDE TMP" dataDxfId="133" totalsRowDxfId="132">
      <calculatedColumnFormula>ROUNDDOWN([RISCO]/ABS([PERDA P/ OPÇÃO]), 0)</calculatedColumnFormula>
    </tableColumn>
    <tableColumn id="14" name="QTDE" dataDxfId="131" totalsRowDxfId="130">
      <calculatedColumnFormula>[QTDE TMP] - MOD([QTDE TMP], 100)</calculatedColumnFormula>
    </tableColumn>
    <tableColumn id="5" name="LUCRO*" dataDxfId="129" totalsRowDxfId="128">
      <calculatedColumnFormula>([QTDE]*[LUCRO P/ OPÇÃO])-32</calculatedColumnFormula>
    </tableColumn>
    <tableColumn id="6" name="PERDA*" dataDxfId="127" totalsRowDxfId="126">
      <calculatedColumnFormula>[QTDE]*[PERDA P/ OPÇÃO]-32</calculatedColumnFormula>
    </tableColumn>
    <tableColumn id="21" name="% QUEDA" dataDxfId="125" totalsRowDxfId="124">
      <calculatedColumnFormula>[EXERC. VENDA]/[PREÇO AÇÃO]-1</calculatedColumnFormula>
    </tableColumn>
    <tableColumn id="22" name="RISCO : 1" dataDxfId="123" totalsRowDxfId="122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3" headerRowDxfId="121" dataDxfId="120">
  <autoFilter ref="A1:O3"/>
  <tableColumns count="15">
    <tableColumn id="1" name="PAPEL" totalsRowLabel="Total" dataDxfId="119" totalsRowDxfId="118"/>
    <tableColumn id="10" name="RISCO" dataDxfId="117" totalsRowDxfId="116"/>
    <tableColumn id="20" name="PREÇO AÇÃO" dataDxfId="115" totalsRowDxfId="114"/>
    <tableColumn id="7" name="EX. VENDA" dataDxfId="113" totalsRowDxfId="112"/>
    <tableColumn id="2" name="EX. COMPRA" dataDxfId="111" totalsRowDxfId="110" dataCellStyle="Moeda"/>
    <tableColumn id="3" name="PR Venda" dataDxfId="109" totalsRowDxfId="108" dataCellStyle="Moeda"/>
    <tableColumn id="16" name="QTDE" dataDxfId="107" totalsRowDxfId="106"/>
    <tableColumn id="13" name="PERDA P/ OPÇÃO" dataDxfId="105" totalsRowDxfId="104">
      <calculatedColumnFormula>([RISCO])/[QTDE]</calculatedColumnFormula>
    </tableColumn>
    <tableColumn id="14" name="Volume" dataDxfId="103" totalsRowDxfId="102">
      <calculatedColumnFormula>[PR Venda] * [QTDE]+[QTDE]*[PR Compra]</calculatedColumnFormula>
    </tableColumn>
    <tableColumn id="15" name="LUCRO UNI" dataDxfId="101" totalsRowDxfId="100">
      <calculatedColumnFormula>[PR Venda]-[PR Compra]</calculatedColumnFormula>
    </tableColumn>
    <tableColumn id="8" name="PR Compra" dataDxfId="99" totalsRowDxfId="98">
      <calculatedColumnFormula>(-[PERDA P/ OPÇÃO] + ([EX. COMPRA] - [EX. VENDA] + 0.01) - 0.01 -[PR Venda])*-1</calculatedColumnFormula>
    </tableColumn>
    <tableColumn id="5" name="LUCRO" dataDxfId="97" totalsRowDxfId="96">
      <calculatedColumnFormula>([QTDE]*[LUCRO UNI])-64</calculatedColumnFormula>
    </tableColumn>
    <tableColumn id="6" name="PERDA" dataDxfId="95" totalsRowDxfId="94">
      <calculatedColumnFormula>-[PERDA P/ OPÇÃO]*[QTDE]-64</calculatedColumnFormula>
    </tableColumn>
    <tableColumn id="21" name="% QUEDA" dataDxfId="93" totalsRowDxfId="92">
      <calculatedColumnFormula>[EX. VENDA]/[PREÇO AÇÃO]-1</calculatedColumnFormula>
    </tableColumn>
    <tableColumn id="22" name="RISCO : 1" dataDxfId="91" totalsRowDxfId="90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89" dataDxfId="88">
  <autoFilter ref="A1:U2"/>
  <tableColumns count="21">
    <tableColumn id="1" name="PAPEL" totalsRowLabel="Total" dataDxfId="87" totalsRowDxfId="86"/>
    <tableColumn id="10" name="BASE" dataDxfId="85" totalsRowDxfId="84"/>
    <tableColumn id="20" name="PR. AÇÃO" dataDxfId="83" totalsRowDxfId="82"/>
    <tableColumn id="2" name="EX. CP 1" dataDxfId="81" totalsRowDxfId="80"/>
    <tableColumn id="3" name="PR CP 1" dataDxfId="79" totalsRowDxfId="78"/>
    <tableColumn id="12" name="EX. VD" dataDxfId="77" totalsRowDxfId="76"/>
    <tableColumn id="13" name="PR VD" dataDxfId="75" totalsRowDxfId="74"/>
    <tableColumn id="8" name="EX. CP 2" dataDxfId="73" totalsRowDxfId="72"/>
    <tableColumn id="7" name="PR CP 2" dataDxfId="71" totalsRowDxfId="70"/>
    <tableColumn id="18" name="LUCRO UNI." dataDxfId="69" totalsRowDxfId="68">
      <calculatedColumnFormula>(([PR VD] - 0.01) * 2) + (([EX. VD] - [EX. CP 1] + 0.01) - [PR CP 1]) + (0.01 - [PR CP 2])</calculatedColumnFormula>
    </tableColumn>
    <tableColumn id="19" name="PERDA 1" dataDxfId="67" totalsRowDxfId="66">
      <calculatedColumnFormula>(0.01 - [PR CP 1]) + (([PR VD] - 0.01) * 2) + (0.01 - [PR CP 2])</calculatedColumnFormula>
    </tableColumn>
    <tableColumn id="15" name="PERDA 2" dataDxfId="65" totalsRowDxfId="64">
      <calculatedColumnFormula>(([EX. CP 2] - [EX. CP 1] + 0.01) - [PR CP 1]) + (([PR VD] - ([EX. CP 2] - [EX. VD] + 0.01)) * 2) + (0.01 - [PR CP 2])</calculatedColumnFormula>
    </tableColumn>
    <tableColumn id="16" name="PERDA" dataDxfId="63" totalsRowDxfId="62">
      <calculatedColumnFormula>IF([PERDA 1] &gt; [PERDA 2], [PERDA 2], [PERDA 1])</calculatedColumnFormula>
    </tableColumn>
    <tableColumn id="11" name="QTDE TMP" dataDxfId="61" totalsRowDxfId="60">
      <calculatedColumnFormula>ROUNDDOWN([BASE]/ABS([PERDA]), 0)</calculatedColumnFormula>
    </tableColumn>
    <tableColumn id="14" name="QTDE" dataDxfId="59" totalsRowDxfId="58">
      <calculatedColumnFormula>[QTDE TMP] - MOD([QTDE TMP], 100)</calculatedColumnFormula>
    </tableColumn>
    <tableColumn id="4" name="QTDE VD" dataDxfId="57" totalsRowDxfId="56">
      <calculatedColumnFormula>Tabela245[[#This Row],[QTDE]]*2</calculatedColumnFormula>
    </tableColumn>
    <tableColumn id="17" name="VOLUME" dataDxfId="55" totalsRowDxfId="54">
      <calculatedColumnFormula>([QTDE]*[PR CP 1] + [QTDE]*[PR CP 2])+[QTDE]*[PR VD] * 2</calculatedColumnFormula>
    </tableColumn>
    <tableColumn id="5" name="LUCRO" dataDxfId="53" totalsRowDxfId="52">
      <calculatedColumnFormula>([QTDE]*[LUCRO UNI.])-48</calculatedColumnFormula>
    </tableColumn>
    <tableColumn id="6" name="PERDA2" dataDxfId="51" totalsRowDxfId="50">
      <calculatedColumnFormula>[QTDE]*[PERDA]-48</calculatedColumnFormula>
    </tableColumn>
    <tableColumn id="21" name="% VAR" dataDxfId="49" totalsRowDxfId="48">
      <calculatedColumnFormula>[EX. VD] / [PR. AÇÃO] - 1</calculatedColumnFormula>
    </tableColumn>
    <tableColumn id="22" name="RISCO : 1" dataDxfId="47" totalsRowDxfId="46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45" dataDxfId="44">
  <autoFilter ref="A1:O5"/>
  <tableColumns count="15">
    <tableColumn id="1" name="PAPEL" totalsRowLabel="Total" dataDxfId="43" totalsRowDxfId="42"/>
    <tableColumn id="10" name="RISCO" dataDxfId="41" totalsRowDxfId="40"/>
    <tableColumn id="20" name="PREÇO AÇÃO" dataDxfId="39" totalsRowDxfId="38"/>
    <tableColumn id="7" name="EX. VENDA" dataDxfId="37" totalsRowDxfId="36"/>
    <tableColumn id="2" name="EX. COMPRA" dataDxfId="35" totalsRowDxfId="34"/>
    <tableColumn id="9" name="PR VENDA" totalsRowDxfId="33"/>
    <tableColumn id="3" name="PR COMPRA" dataDxfId="32" totalsRowDxfId="31"/>
    <tableColumn id="16" name="QTDE" dataDxfId="30" totalsRowDxfId="29"/>
    <tableColumn id="13" name="PERDA P/ OPÇÃO" dataDxfId="28" totalsRowDxfId="27">
      <calculatedColumnFormula>([PR VENDA] - ([EX. COMPRA] - [EX. VENDA] + 0.01)) + (0.01 - ([PR COMPRA]))</calculatedColumnFormula>
    </tableColumn>
    <tableColumn id="14" name="VOLUME" dataDxfId="26" totalsRowDxfId="25">
      <calculatedColumnFormula>[PR COMPRA] * [QTDE]</calculatedColumnFormula>
    </tableColumn>
    <tableColumn id="15" name="LUCRO UNI" dataDxfId="24" totalsRowDxfId="23">
      <calculatedColumnFormula>[PR VENDA]-[PR COMPRA]</calculatedColumnFormula>
    </tableColumn>
    <tableColumn id="5" name="LUCRO*" dataDxfId="22" totalsRowDxfId="21">
      <calculatedColumnFormula>([QTDE]*[LUCRO UNI])</calculatedColumnFormula>
    </tableColumn>
    <tableColumn id="6" name="PERDA*" dataDxfId="20" totalsRowDxfId="19">
      <calculatedColumnFormula>[PERDA P/ OPÇÃO]*[QTDE]</calculatedColumnFormula>
    </tableColumn>
    <tableColumn id="21" name="% QUEDA" dataDxfId="18" totalsRowDxfId="17">
      <calculatedColumnFormula>[EX. VENDA]/[PREÇO AÇÃO]-1</calculatedColumnFormula>
    </tableColumn>
    <tableColumn id="22" name="RISCO : 1" dataDxfId="16" totalsRowDxfId="15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ela9" displayName="Tabela9" ref="A1:N120" totalsRowShown="0" headerRowDxfId="12" headerRowBorderDxfId="13" tableBorderDxfId="14">
  <autoFilter ref="A1:N120"/>
  <tableColumns count="14">
    <tableColumn id="1" name="Ticket"/>
    <tableColumn id="2" name="OpenTime"/>
    <tableColumn id="3" name="Type"/>
    <tableColumn id="4" name="Size"/>
    <tableColumn id="5" name="Item"/>
    <tableColumn id="6" name="Price"/>
    <tableColumn id="7" name="S/L"/>
    <tableColumn id="8" name="T/P"/>
    <tableColumn id="9" name="CloseTime"/>
    <tableColumn id="10" name="Price2"/>
    <tableColumn id="11" name="Commission"/>
    <tableColumn id="12" name="Taxes"/>
    <tableColumn id="13" name="Swap"/>
    <tableColumn id="14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104"/>
  <sheetViews>
    <sheetView workbookViewId="0">
      <pane xSplit="10" ySplit="1" topLeftCell="K96" activePane="bottomRight" state="frozen"/>
      <selection pane="topRight" activeCell="K1" sqref="K1"/>
      <selection pane="bottomLeft" activeCell="A2" sqref="A2"/>
      <selection pane="bottomRight" activeCell="D104" sqref="D104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6.85546875" style="7" bestFit="1" customWidth="1"/>
    <col min="5" max="5" width="9.85546875" style="7" bestFit="1" customWidth="1"/>
    <col min="6" max="6" width="7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1.570312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1000</v>
      </c>
      <c r="G92" s="136">
        <v>0.47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470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-470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-486.38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-486.38</v>
      </c>
      <c r="Z92" s="136">
        <f>[LÍQUIDO]-SUMPRODUCT(N([DATA]=NC[[#This Row],[DATA]]),N([ID]=(NC[[#This Row],[ID]]-1)),[LÍQUIDO])</f>
        <v>-486.38</v>
      </c>
      <c r="AA92" s="136">
        <f>IF([T] = "VC", ABS([VALOR OP]) / [QTDE], [VALOR OP]/[QTDE])</f>
        <v>-0.48637999999999998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-0.48637999999999998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500</v>
      </c>
      <c r="G93" s="136">
        <v>0.65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325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325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308.81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308.81</v>
      </c>
      <c r="Z93" s="136">
        <f>[LÍQUIDO]-SUMPRODUCT(N([DATA]=NC[[#This Row],[DATA]]),N([ID]=(NC[[#This Row],[ID]]-1)),[LÍQUIDO])</f>
        <v>308.81</v>
      </c>
      <c r="AA93" s="136">
        <f>IF([T] = "VC", ABS([VALOR OP]) / [QTDE], [VALOR OP]/[QTDE])</f>
        <v>0.61762000000000006</v>
      </c>
      <c r="AB93" s="136">
        <f>TRUNC(IF(OR([T]="CV",[T]="VV"),     N93*SETUP!$H$3,     0),2)</f>
        <v>0.01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0.61762000000000006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65.620000000000033</v>
      </c>
      <c r="AG93" s="136">
        <f>IF([LUCRO TMP] &lt;&gt; 0, [LUCRO TMP] - SUMPRODUCT(N([ATIVO]=NC[[#This Row],[ATIVO]]),N(['[D/N']]="N"),N([ID]&lt;NC[[#This Row],[ID]]),N([PAR]=NC[[#This Row],[PAR]]), [LUCRO TMP]), 0)</f>
        <v>65.620000000000033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0.61762000000000006</v>
      </c>
    </row>
    <row r="94" spans="1:37">
      <c r="A94" s="134">
        <v>93</v>
      </c>
      <c r="B94" s="134"/>
      <c r="C94" s="134" t="s">
        <v>183</v>
      </c>
      <c r="D94" s="134" t="s">
        <v>24</v>
      </c>
      <c r="E94" s="135">
        <v>41758</v>
      </c>
      <c r="F94" s="134">
        <v>1900</v>
      </c>
      <c r="G94" s="136">
        <v>0.49</v>
      </c>
      <c r="H94" s="137"/>
      <c r="I94" s="138"/>
      <c r="J94" s="134" t="s">
        <v>6</v>
      </c>
      <c r="K94" s="135">
        <f>WORKDAY(NC[[#This Row],[DATA]],1,0)</f>
        <v>41759</v>
      </c>
      <c r="L94" s="139">
        <f>EOMONTH(NC[[#This Row],[DATA DE LIQUIDAÇÃO]],0)</f>
        <v>41759</v>
      </c>
      <c r="M94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6">
        <f>[QTDE]*[PREÇO]</f>
        <v>931</v>
      </c>
      <c r="O94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-931</v>
      </c>
      <c r="P94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94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94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94" s="136">
        <f>SETUP!$E$3 * IF([PARCIAL] &gt; 0, [QTDE] / [PARCIAL], 1)</f>
        <v>14.9</v>
      </c>
      <c r="T94" s="136">
        <f>SUMPRODUCT(N([DATA]=NC[[#This Row],[DATA]]),N([ID]&lt;=NC[[#This Row],[ID]]), [CORR])</f>
        <v>14.9</v>
      </c>
      <c r="U94" s="136">
        <f>TRUNC([CORRETAGEM]*SETUP!$F$3,2)</f>
        <v>0.28999999999999998</v>
      </c>
      <c r="V94" s="136">
        <f>ROUND([CORRETAGEM]*SETUP!$G$3,2)</f>
        <v>0.57999999999999996</v>
      </c>
      <c r="W94" s="136">
        <f>[VALOR LÍQUIDO DAS OPERAÇÕES]-[TAXA DE LIQUIDAÇÃO]-[EMOLUMENTOS]-[TAXA DE REGISTRO]-[CORRETAGEM]-[ISS]-IF(['[D/N']]="D",    0,    [OUTRAS BOVESPA]) - [AJUSTE]</f>
        <v>-948</v>
      </c>
      <c r="X94" s="136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-948</v>
      </c>
      <c r="Z94" s="136">
        <f>[LÍQUIDO]-SUMPRODUCT(N([DATA]=NC[[#This Row],[DATA]]),N([ID]=(NC[[#This Row],[ID]]-1)),[LÍQUIDO])</f>
        <v>-948</v>
      </c>
      <c r="AA94" s="136">
        <f>IF([T] = "VC", ABS([VALOR OP]) / [QTDE], [VALOR OP]/[QTDE])</f>
        <v>-0.49894736842105264</v>
      </c>
      <c r="AB94" s="136">
        <f>TRUNC(IF(OR([T]="CV",[T]="VV"),     N94*SETUP!$H$3,     0),2)</f>
        <v>0</v>
      </c>
      <c r="AC94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94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0.49894736842105264</v>
      </c>
      <c r="AE94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4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6">
        <f>IF([LUCRO TMP] &lt;&gt; 0, [LUCRO TMP] - SUMPRODUCT(N([ATIVO]=NC[[#This Row],[ATIVO]]),N(['[D/N']]="N"),N([ID]&lt;NC[[#This Row],[ID]]),N([PAR]=NC[[#This Row],[PAR]]), [LUCRO TMP]), 0)</f>
        <v>0</v>
      </c>
      <c r="AH94" s="136">
        <f>IF([U] = "U", SUMPRODUCT(N([ID]&lt;=NC[[#This Row],[ID]]),N([DATA BASE]=NC[[#This Row],[DATA BASE]]), N(['[D/N']] = "N"),    [LUCRO P/ OP]), 0)</f>
        <v>0</v>
      </c>
      <c r="AI94" s="136">
        <f>IF([U] = "U", SUMPRODUCT(N([DATA BASE]=NC[[#This Row],[DATA BASE]]), N(['[D/N']] = "D"),    [LUCRO P/ OP]), 0)</f>
        <v>0</v>
      </c>
      <c r="AJ94" s="136">
        <f>IF([U] = "U", SUMPRODUCT(N([DATA BASE]=NC[[#This Row],[DATA BASE]]), N(['[D/N']] = "D"),    [IRRF FONTE]), 0)</f>
        <v>0</v>
      </c>
      <c r="AK94" s="154">
        <f>NC[[#This Row],[LÍQUIDO]]/NC[[#This Row],[QTDE]]</f>
        <v>-0.49894736842105264</v>
      </c>
    </row>
    <row r="95" spans="1:37">
      <c r="A95" s="134">
        <v>94</v>
      </c>
      <c r="B95" s="134"/>
      <c r="C95" s="134" t="s">
        <v>183</v>
      </c>
      <c r="D95" s="134" t="s">
        <v>25</v>
      </c>
      <c r="E95" s="135">
        <v>41759</v>
      </c>
      <c r="F95" s="134">
        <v>900</v>
      </c>
      <c r="G95" s="136">
        <v>3</v>
      </c>
      <c r="H95" s="137"/>
      <c r="I95" s="138"/>
      <c r="J95" s="134" t="s">
        <v>6</v>
      </c>
      <c r="K95" s="135">
        <f>WORKDAY(NC[[#This Row],[DATA]],1,0)</f>
        <v>41760</v>
      </c>
      <c r="L95" s="139">
        <f>EOMONTH(NC[[#This Row],[DATA DE LIQUIDAÇÃO]],0)</f>
        <v>41790</v>
      </c>
      <c r="M95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5" s="136">
        <f>[QTDE]*[PREÇO]</f>
        <v>2700</v>
      </c>
      <c r="O95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2700</v>
      </c>
      <c r="P95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0.74</v>
      </c>
      <c r="Q95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0.99</v>
      </c>
      <c r="R95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1.87</v>
      </c>
      <c r="S95" s="136">
        <f>SETUP!$E$3 * IF([PARCIAL] &gt; 0, [QTDE] / [PARCIAL], 1)</f>
        <v>14.9</v>
      </c>
      <c r="T95" s="136">
        <f>SUMPRODUCT(N([DATA]=NC[[#This Row],[DATA]]),N([ID]&lt;=NC[[#This Row],[ID]]), [CORR])</f>
        <v>14.9</v>
      </c>
      <c r="U95" s="136">
        <f>TRUNC([CORRETAGEM]*SETUP!$F$3,2)</f>
        <v>0.28999999999999998</v>
      </c>
      <c r="V95" s="136">
        <f>ROUND([CORRETAGEM]*SETUP!$G$3,2)</f>
        <v>0.57999999999999996</v>
      </c>
      <c r="W95" s="136">
        <f>[VALOR LÍQUIDO DAS OPERAÇÕES]-[TAXA DE LIQUIDAÇÃO]-[EMOLUMENTOS]-[TAXA DE REGISTRO]-[CORRETAGEM]-[ISS]-IF(['[D/N']]="D",    0,    [OUTRAS BOVESPA]) - [AJUSTE]</f>
        <v>2680.6300000000006</v>
      </c>
      <c r="X95" s="136">
        <f>IF(AND(['[D/N']]="D",    [T]="CV",    [LÍQUIDO BASE] &gt; 0),    TRUNC([LÍQUIDO BASE]*0.01, 2),    0)</f>
        <v>0</v>
      </c>
      <c r="Y95" s="63">
        <f>IF([PREÇO] &gt; 0,    [LÍQUIDO BASE]-SUMPRODUCT(N([DATA]=NC[[#This Row],[DATA]]),    [IRRF FONTE]),    0)</f>
        <v>2680.6300000000006</v>
      </c>
      <c r="Z95" s="136">
        <f>[LÍQUIDO]-SUMPRODUCT(N([DATA]=NC[[#This Row],[DATA]]),N([ID]=(NC[[#This Row],[ID]]-1)),[LÍQUIDO])</f>
        <v>2680.6300000000006</v>
      </c>
      <c r="AA95" s="136">
        <f>IF([T] = "VC", ABS([VALOR OP]) / [QTDE], [VALOR OP]/[QTDE])</f>
        <v>2.9784777777777784</v>
      </c>
      <c r="AB95" s="136">
        <f>TRUNC(IF(OR([T]="CV",[T]="VV"),     N95*SETUP!$H$3,     0),2)</f>
        <v>0.13</v>
      </c>
      <c r="AC95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95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0.49894736842105264</v>
      </c>
      <c r="AE95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2.9784777777777784</v>
      </c>
      <c r="AF95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2231.5773684210531</v>
      </c>
      <c r="AG95" s="136">
        <f>IF([LUCRO TMP] &lt;&gt; 0, [LUCRO TMP] - SUMPRODUCT(N([ATIVO]=NC[[#This Row],[ATIVO]]),N(['[D/N']]="N"),N([ID]&lt;NC[[#This Row],[ID]]),N([PAR]=NC[[#This Row],[PAR]]), [LUCRO TMP]), 0)</f>
        <v>2231.5773684210531</v>
      </c>
      <c r="AH95" s="136">
        <f>IF([U] = "U", SUMPRODUCT(N([ID]&lt;=NC[[#This Row],[ID]]),N([DATA BASE]=NC[[#This Row],[DATA BASE]]), N(['[D/N']] = "N"),    [LUCRO P/ OP]), 0)</f>
        <v>0</v>
      </c>
      <c r="AI95" s="136">
        <f>IF([U] = "U", SUMPRODUCT(N([DATA BASE]=NC[[#This Row],[DATA BASE]]), N(['[D/N']] = "D"),    [LUCRO P/ OP]), 0)</f>
        <v>0</v>
      </c>
      <c r="AJ95" s="136">
        <f>IF([U] = "U", SUMPRODUCT(N([DATA BASE]=NC[[#This Row],[DATA BASE]]), N(['[D/N']] = "D"),    [IRRF FONTE]), 0)</f>
        <v>0</v>
      </c>
      <c r="AK95" s="154">
        <f>NC[[#This Row],[LÍQUIDO]]/NC[[#This Row],[QTDE]]</f>
        <v>2.9784777777777784</v>
      </c>
    </row>
    <row r="96" spans="1:37">
      <c r="Y96" s="27"/>
      <c r="AG96" s="27"/>
    </row>
    <row r="99" spans="2:25">
      <c r="Y99" s="7">
        <v>-760</v>
      </c>
    </row>
    <row r="102" spans="2:25">
      <c r="C102" s="7">
        <v>1900</v>
      </c>
      <c r="D102" s="25">
        <v>0.48</v>
      </c>
      <c r="E102" s="25">
        <f>C102*D102</f>
        <v>912</v>
      </c>
    </row>
    <row r="103" spans="2:25">
      <c r="B103" s="7">
        <v>530</v>
      </c>
      <c r="C103" s="7">
        <f>B103/D103-MOD(B103/D103,100)</f>
        <v>1100</v>
      </c>
      <c r="D103" s="25">
        <v>0.46</v>
      </c>
      <c r="E103" s="25">
        <f>C103*D103</f>
        <v>506</v>
      </c>
    </row>
    <row r="104" spans="2:25">
      <c r="C104" s="7">
        <f>C103+C102</f>
        <v>3000</v>
      </c>
      <c r="E104" s="23">
        <f>E102+E103</f>
        <v>1418</v>
      </c>
      <c r="F104" s="7">
        <f>E104/C104</f>
        <v>0.47266666666666668</v>
      </c>
      <c r="G104" s="7">
        <f>F104*2</f>
        <v>0.94533333333333336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W80"/>
  <sheetViews>
    <sheetView tabSelected="1" workbookViewId="0">
      <selection sqref="A1:A1048576"/>
    </sheetView>
  </sheetViews>
  <sheetFormatPr defaultRowHeight="11.25"/>
  <cols>
    <col min="1" max="1" width="9.140625" style="25" customWidth="1"/>
    <col min="2" max="2" width="10.7109375" style="25" bestFit="1" customWidth="1"/>
    <col min="3" max="3" width="7.42578125" style="152" bestFit="1" customWidth="1"/>
    <col min="4" max="4" width="7.7109375" style="27" bestFit="1" customWidth="1"/>
    <col min="5" max="5" width="6.5703125" style="159" bestFit="1" customWidth="1"/>
    <col min="6" max="6" width="10.42578125" style="152" bestFit="1" customWidth="1"/>
    <col min="7" max="7" width="8.28515625" style="155" bestFit="1" customWidth="1"/>
    <col min="8" max="8" width="6.85546875" style="159" bestFit="1" customWidth="1"/>
    <col min="9" max="9" width="6.5703125" style="7" bestFit="1" customWidth="1"/>
    <col min="10" max="11" width="9.140625" style="25" customWidth="1"/>
    <col min="12" max="12" width="7.7109375" style="25" bestFit="1" customWidth="1"/>
    <col min="13" max="13" width="9.140625" style="25" customWidth="1"/>
    <col min="14" max="14" width="10.7109375" style="25" bestFit="1" customWidth="1"/>
    <col min="15" max="15" width="9.140625" style="7"/>
    <col min="16" max="17" width="9.5703125" style="25" bestFit="1" customWidth="1"/>
    <col min="18" max="18" width="9.140625" style="7"/>
    <col min="19" max="19" width="12.85546875" style="25" bestFit="1" customWidth="1"/>
    <col min="20" max="20" width="9.5703125" style="7" bestFit="1" customWidth="1"/>
    <col min="21" max="21" width="10.85546875" style="7" bestFit="1" customWidth="1"/>
    <col min="22" max="23" width="11.7109375" style="7" bestFit="1" customWidth="1"/>
    <col min="24" max="16384" width="9.140625" style="7"/>
  </cols>
  <sheetData>
    <row r="1" spans="1:23" s="24" customFormat="1">
      <c r="A1" s="26" t="s">
        <v>191</v>
      </c>
      <c r="B1" s="26" t="s">
        <v>184</v>
      </c>
      <c r="C1" s="157" t="s">
        <v>185</v>
      </c>
      <c r="D1" s="156" t="s">
        <v>186</v>
      </c>
      <c r="E1" s="158"/>
      <c r="F1" s="157" t="s">
        <v>187</v>
      </c>
      <c r="G1" s="161" t="s">
        <v>188</v>
      </c>
      <c r="H1" s="158"/>
      <c r="J1" s="26" t="s">
        <v>191</v>
      </c>
      <c r="K1" s="26" t="s">
        <v>192</v>
      </c>
      <c r="L1" s="26"/>
      <c r="M1" s="26" t="s">
        <v>189</v>
      </c>
      <c r="N1" s="26" t="s">
        <v>190</v>
      </c>
      <c r="P1" s="26" t="s">
        <v>325</v>
      </c>
      <c r="Q1" s="26" t="s">
        <v>326</v>
      </c>
      <c r="S1" s="26"/>
    </row>
    <row r="2" spans="1:23">
      <c r="A2" s="25">
        <v>16.93</v>
      </c>
      <c r="B2" s="25">
        <f>IF(COUNTBLANK(A2:A10)&gt;0,"",AVERAGE(A2:A10))</f>
        <v>16.982222222222223</v>
      </c>
      <c r="C2" s="152">
        <f t="shared" ref="C2:C9" si="0">IF(B2="","",STDEV(A2:A10))</f>
        <v>4.6844897741850418E-2</v>
      </c>
      <c r="D2" s="27">
        <f>C2/B2</f>
        <v>2.7584668913677949E-3</v>
      </c>
      <c r="F2" s="152">
        <f>VAR(A2:A10)</f>
        <v>2.1944444444444221E-3</v>
      </c>
      <c r="G2" s="155">
        <f t="shared" ref="G2:G33" si="1">F2/B2</f>
        <v>1.2922009945040433E-4</v>
      </c>
      <c r="J2" s="25">
        <v>16.93</v>
      </c>
      <c r="K2" s="25">
        <v>28.41</v>
      </c>
      <c r="M2" s="25">
        <v>16.38</v>
      </c>
      <c r="N2" s="25">
        <v>28.54</v>
      </c>
      <c r="P2" s="25">
        <v>15.99</v>
      </c>
      <c r="Q2" s="25">
        <v>29.18</v>
      </c>
      <c r="S2" s="25">
        <v>600</v>
      </c>
      <c r="T2" s="80">
        <f>S2*85%*20%</f>
        <v>102</v>
      </c>
      <c r="U2" s="80">
        <f>S2-T2</f>
        <v>498</v>
      </c>
      <c r="V2" s="80">
        <f>SUM($U$2:U2)</f>
        <v>498</v>
      </c>
      <c r="W2" s="80">
        <f>V2+T2+S2</f>
        <v>1200</v>
      </c>
    </row>
    <row r="3" spans="1:23">
      <c r="A3" s="25">
        <v>16.920000000000002</v>
      </c>
      <c r="B3" s="25">
        <f t="shared" ref="B3:B66" si="2">IF(COUNTBLANK(A3:A11)&gt;0,"",AVERAGE(A3:A11))</f>
        <v>16.991111111111113</v>
      </c>
      <c r="C3" s="152">
        <f t="shared" si="0"/>
        <v>4.3140597018482302E-2</v>
      </c>
      <c r="D3" s="27">
        <f t="shared" ref="D3:D15" si="3">C3/B3</f>
        <v>2.5390097643626778E-3</v>
      </c>
      <c r="E3" s="159">
        <f>D3/D2</f>
        <v>0.9204423559724878</v>
      </c>
      <c r="F3" s="152">
        <f t="shared" ref="F3:F66" si="4">VAR(A3:A11)</f>
        <v>1.8611111111110838E-3</v>
      </c>
      <c r="G3" s="155">
        <f t="shared" si="1"/>
        <v>1.0953439707036197E-4</v>
      </c>
      <c r="H3" s="159">
        <f>ROUND(G3/G2,2)</f>
        <v>0.85</v>
      </c>
      <c r="J3" s="25">
        <v>16.920000000000002</v>
      </c>
      <c r="K3" s="25">
        <v>28.38</v>
      </c>
      <c r="M3" s="25">
        <v>16.190000000000001</v>
      </c>
      <c r="N3" s="25">
        <v>28.2</v>
      </c>
      <c r="O3" s="80"/>
      <c r="P3" s="25">
        <v>15.85</v>
      </c>
      <c r="Q3" s="25">
        <v>29.06</v>
      </c>
      <c r="S3" s="25">
        <f>S2+T2+600</f>
        <v>1302</v>
      </c>
      <c r="T3" s="80">
        <f t="shared" ref="T3:T47" si="5">S3*85%*20%</f>
        <v>221.34000000000003</v>
      </c>
      <c r="U3" s="80">
        <f t="shared" ref="U3:U22" si="6">S3-T3</f>
        <v>1080.6599999999999</v>
      </c>
      <c r="V3" s="80">
        <f>SUM($U$2:U3)</f>
        <v>1578.6599999999999</v>
      </c>
      <c r="W3" s="80">
        <f t="shared" ref="W3:W22" si="7">V3+T3+S3</f>
        <v>3102</v>
      </c>
    </row>
    <row r="4" spans="1:23">
      <c r="A4" s="25">
        <v>16.940000000000001</v>
      </c>
      <c r="B4" s="25">
        <f t="shared" si="2"/>
        <v>17</v>
      </c>
      <c r="C4" s="152">
        <f t="shared" si="0"/>
        <v>3.3911649915626271E-2</v>
      </c>
      <c r="D4" s="27">
        <f t="shared" si="3"/>
        <v>1.9948029362133099E-3</v>
      </c>
      <c r="E4" s="159">
        <f t="shared" ref="E4:E67" si="8">D4/D3</f>
        <v>0.78566178209008564</v>
      </c>
      <c r="F4" s="152">
        <f t="shared" si="4"/>
        <v>1.1499999999999952E-3</v>
      </c>
      <c r="G4" s="155">
        <f t="shared" si="1"/>
        <v>6.7647058823529135E-5</v>
      </c>
      <c r="H4" s="159">
        <f>ROUND(G4/G3,2)</f>
        <v>0.62</v>
      </c>
      <c r="J4" s="25">
        <v>16.940000000000001</v>
      </c>
      <c r="K4" s="25">
        <v>28.47</v>
      </c>
      <c r="M4" s="25">
        <v>15.94</v>
      </c>
      <c r="N4" s="25">
        <v>28.19</v>
      </c>
      <c r="O4" s="80"/>
      <c r="P4" s="25">
        <v>15.68</v>
      </c>
      <c r="Q4" s="25">
        <v>28.8</v>
      </c>
      <c r="S4" s="25">
        <f>S3+T3+600</f>
        <v>2123.34</v>
      </c>
      <c r="T4" s="80">
        <f t="shared" si="5"/>
        <v>360.96780000000007</v>
      </c>
      <c r="U4" s="80">
        <f t="shared" si="6"/>
        <v>1762.3722</v>
      </c>
      <c r="V4" s="80">
        <f>SUM($U$2:U4)</f>
        <v>3341.0321999999996</v>
      </c>
      <c r="W4" s="80">
        <f t="shared" si="7"/>
        <v>5825.34</v>
      </c>
    </row>
    <row r="5" spans="1:23">
      <c r="A5" s="25">
        <v>16.98</v>
      </c>
      <c r="B5" s="25">
        <f t="shared" si="2"/>
        <v>17</v>
      </c>
      <c r="C5" s="152">
        <f t="shared" si="0"/>
        <v>3.3911649915626271E-2</v>
      </c>
      <c r="D5" s="27">
        <f t="shared" si="3"/>
        <v>1.9948029362133099E-3</v>
      </c>
      <c r="E5" s="159">
        <f t="shared" si="8"/>
        <v>1</v>
      </c>
      <c r="F5" s="152">
        <f t="shared" si="4"/>
        <v>1.1499999999999954E-3</v>
      </c>
      <c r="G5" s="155">
        <f t="shared" si="1"/>
        <v>6.7647058823529148E-5</v>
      </c>
      <c r="H5" s="159">
        <f t="shared" ref="H5:H68" si="9">ROUND(G5/G4,2)</f>
        <v>1</v>
      </c>
      <c r="J5" s="25">
        <v>16.98</v>
      </c>
      <c r="K5" s="25">
        <v>28.53</v>
      </c>
      <c r="M5" s="25">
        <v>16.05</v>
      </c>
      <c r="N5" s="25">
        <v>28.03</v>
      </c>
      <c r="O5" s="80"/>
      <c r="P5" s="25">
        <v>16.190000000000001</v>
      </c>
      <c r="Q5" s="25">
        <v>28.97</v>
      </c>
      <c r="S5" s="25">
        <f>S4+T4+600</f>
        <v>3084.3078</v>
      </c>
      <c r="T5" s="80">
        <f t="shared" si="5"/>
        <v>524.33232600000008</v>
      </c>
      <c r="U5" s="80">
        <f t="shared" si="6"/>
        <v>2559.9754739999998</v>
      </c>
      <c r="V5" s="80">
        <f>SUM($U$2:U5)</f>
        <v>5901.0076739999995</v>
      </c>
      <c r="W5" s="80">
        <f t="shared" si="7"/>
        <v>9509.6477999999988</v>
      </c>
    </row>
    <row r="6" spans="1:23">
      <c r="A6" s="25">
        <v>16.989999999999998</v>
      </c>
      <c r="B6" s="25">
        <f t="shared" si="2"/>
        <v>16.998888888888889</v>
      </c>
      <c r="C6" s="152">
        <f t="shared" si="0"/>
        <v>3.4801021696368596E-2</v>
      </c>
      <c r="D6" s="27">
        <f t="shared" si="3"/>
        <v>2.0472527306838184E-3</v>
      </c>
      <c r="E6" s="159">
        <f t="shared" si="8"/>
        <v>1.026293221008624</v>
      </c>
      <c r="F6" s="152">
        <f t="shared" si="4"/>
        <v>1.2111111111111177E-3</v>
      </c>
      <c r="G6" s="155">
        <f t="shared" si="1"/>
        <v>7.1246486698477407E-5</v>
      </c>
      <c r="H6" s="159">
        <f t="shared" si="9"/>
        <v>1.05</v>
      </c>
      <c r="J6" s="25">
        <v>16.989999999999998</v>
      </c>
      <c r="K6" s="25">
        <v>28.55</v>
      </c>
      <c r="M6" s="25">
        <v>15.96</v>
      </c>
      <c r="N6" s="25">
        <v>28.04</v>
      </c>
      <c r="O6" s="80"/>
      <c r="P6" s="25">
        <v>15.93</v>
      </c>
      <c r="Q6" s="25">
        <v>29.22</v>
      </c>
      <c r="S6" s="25">
        <f t="shared" ref="S6:S10" si="10">S5+T5+600</f>
        <v>4208.6401260000002</v>
      </c>
      <c r="T6" s="80">
        <f t="shared" si="5"/>
        <v>715.46882142000004</v>
      </c>
      <c r="U6" s="80">
        <f t="shared" si="6"/>
        <v>3493.1713045800002</v>
      </c>
      <c r="V6" s="80">
        <f>SUM($U$2:U6)</f>
        <v>9394.1789785799992</v>
      </c>
      <c r="W6" s="80">
        <f t="shared" si="7"/>
        <v>14318.287925999999</v>
      </c>
    </row>
    <row r="7" spans="1:23">
      <c r="A7" s="25">
        <v>17.07</v>
      </c>
      <c r="B7" s="25">
        <f t="shared" si="2"/>
        <v>16.993333333333332</v>
      </c>
      <c r="C7" s="152">
        <f t="shared" si="0"/>
        <v>3.9999999999999883E-2</v>
      </c>
      <c r="D7" s="27">
        <f t="shared" si="3"/>
        <v>2.3538642604943047E-3</v>
      </c>
      <c r="E7" s="159">
        <f t="shared" si="8"/>
        <v>1.1497673077754658</v>
      </c>
      <c r="F7" s="152">
        <f t="shared" si="4"/>
        <v>1.5999999999999908E-3</v>
      </c>
      <c r="G7" s="155">
        <f t="shared" si="1"/>
        <v>9.4154570419771916E-5</v>
      </c>
      <c r="H7" s="159">
        <f t="shared" si="9"/>
        <v>1.32</v>
      </c>
      <c r="J7" s="25">
        <v>17.07</v>
      </c>
      <c r="K7" s="25">
        <v>28.52</v>
      </c>
      <c r="M7" s="25">
        <v>15.96</v>
      </c>
      <c r="N7" s="25">
        <v>27.86</v>
      </c>
      <c r="O7" s="80"/>
      <c r="P7" s="25">
        <v>15.32</v>
      </c>
      <c r="Q7" s="25">
        <v>27.87</v>
      </c>
      <c r="S7" s="25">
        <f t="shared" si="10"/>
        <v>5524.1089474199998</v>
      </c>
      <c r="T7" s="80">
        <f t="shared" si="5"/>
        <v>939.09852106139988</v>
      </c>
      <c r="U7" s="80">
        <f t="shared" si="6"/>
        <v>4585.0104263585999</v>
      </c>
      <c r="V7" s="80">
        <f>SUM($U$2:U7)</f>
        <v>13979.189404938599</v>
      </c>
      <c r="W7" s="80">
        <f t="shared" si="7"/>
        <v>20442.396873419999</v>
      </c>
    </row>
    <row r="8" spans="1:23">
      <c r="A8" s="25">
        <v>17</v>
      </c>
      <c r="B8" s="25">
        <f t="shared" si="2"/>
        <v>16.972222222222221</v>
      </c>
      <c r="C8" s="152">
        <f t="shared" si="0"/>
        <v>4.4378423185648191E-2</v>
      </c>
      <c r="D8" s="27">
        <f t="shared" si="3"/>
        <v>2.6147679782051311E-3</v>
      </c>
      <c r="E8" s="159">
        <f t="shared" si="8"/>
        <v>1.1108405960741496</v>
      </c>
      <c r="F8" s="152">
        <f t="shared" si="4"/>
        <v>1.9694444444444768E-3</v>
      </c>
      <c r="G8" s="155">
        <f t="shared" si="1"/>
        <v>1.1603927986906902E-4</v>
      </c>
      <c r="H8" s="159">
        <f t="shared" si="9"/>
        <v>1.23</v>
      </c>
      <c r="I8" s="160"/>
      <c r="J8" s="25">
        <v>17</v>
      </c>
      <c r="K8" s="25">
        <v>28.7</v>
      </c>
      <c r="M8" s="25">
        <v>15.91</v>
      </c>
      <c r="N8" s="25">
        <v>27.67</v>
      </c>
      <c r="O8" s="80"/>
      <c r="P8" s="25">
        <v>15.78</v>
      </c>
      <c r="Q8" s="25">
        <v>28.15</v>
      </c>
      <c r="S8" s="25">
        <f t="shared" si="10"/>
        <v>7063.2074684813997</v>
      </c>
      <c r="T8" s="80">
        <f t="shared" si="5"/>
        <v>1200.7452696418379</v>
      </c>
      <c r="U8" s="80">
        <f t="shared" si="6"/>
        <v>5862.462198839562</v>
      </c>
      <c r="V8" s="80">
        <f>SUM($U$2:U8)</f>
        <v>19841.651603778162</v>
      </c>
      <c r="W8" s="80">
        <f t="shared" si="7"/>
        <v>28105.604341901399</v>
      </c>
    </row>
    <row r="9" spans="1:23">
      <c r="A9" s="25">
        <v>17.010000000000002</v>
      </c>
      <c r="B9" s="25">
        <f t="shared" si="2"/>
        <v>16.959999999999997</v>
      </c>
      <c r="C9" s="152">
        <f t="shared" si="0"/>
        <v>5.0497524691810722E-2</v>
      </c>
      <c r="D9" s="27">
        <f t="shared" si="3"/>
        <v>2.9774483898473308E-3</v>
      </c>
      <c r="E9" s="159">
        <f t="shared" si="8"/>
        <v>1.1387046249094561</v>
      </c>
      <c r="F9" s="152">
        <f t="shared" si="4"/>
        <v>2.5500000000000336E-3</v>
      </c>
      <c r="G9" s="155">
        <f t="shared" si="1"/>
        <v>1.5035377358490765E-4</v>
      </c>
      <c r="H9" s="159">
        <f t="shared" si="9"/>
        <v>1.3</v>
      </c>
      <c r="I9" s="160"/>
      <c r="J9" s="25">
        <v>17.010000000000002</v>
      </c>
      <c r="K9" s="25">
        <v>28.55</v>
      </c>
      <c r="M9" s="25">
        <v>16.010000000000002</v>
      </c>
      <c r="N9" s="25">
        <v>27.64</v>
      </c>
      <c r="O9" s="80"/>
      <c r="P9" s="25">
        <v>16.38</v>
      </c>
      <c r="Q9" s="25">
        <v>28.54</v>
      </c>
      <c r="S9" s="25">
        <f t="shared" si="10"/>
        <v>8863.9527381232383</v>
      </c>
      <c r="T9" s="80">
        <f t="shared" si="5"/>
        <v>1506.8719654809506</v>
      </c>
      <c r="U9" s="80">
        <f t="shared" si="6"/>
        <v>7357.0807726422881</v>
      </c>
      <c r="V9" s="80">
        <f>SUM($U$2:U9)</f>
        <v>27198.732376420448</v>
      </c>
      <c r="W9" s="80">
        <f t="shared" si="7"/>
        <v>37569.557080024635</v>
      </c>
    </row>
    <row r="10" spans="1:23">
      <c r="A10" s="25">
        <v>17</v>
      </c>
      <c r="B10" s="25">
        <f t="shared" si="2"/>
        <v>16.934444444444445</v>
      </c>
      <c r="C10" s="152">
        <f>IF(B10="","",STDEV(A10:A17))</f>
        <v>5.0124844139408757E-2</v>
      </c>
      <c r="D10" s="27">
        <f t="shared" si="3"/>
        <v>2.9599343694946445E-3</v>
      </c>
      <c r="E10" s="159">
        <f t="shared" si="8"/>
        <v>0.99411777533662493</v>
      </c>
      <c r="F10" s="152">
        <f t="shared" si="4"/>
        <v>5.5527777777777641E-3</v>
      </c>
      <c r="G10" s="155">
        <f t="shared" si="1"/>
        <v>3.2789843186142561E-4</v>
      </c>
      <c r="H10" s="159">
        <f t="shared" si="9"/>
        <v>2.1800000000000002</v>
      </c>
      <c r="I10" s="160"/>
      <c r="J10" s="25">
        <v>17</v>
      </c>
      <c r="K10" s="25">
        <v>28.45</v>
      </c>
      <c r="M10" s="25">
        <v>16.03</v>
      </c>
      <c r="N10" s="25">
        <v>27.7</v>
      </c>
      <c r="O10" s="80"/>
      <c r="P10" s="25">
        <v>15.96</v>
      </c>
      <c r="Q10" s="25">
        <v>28.04</v>
      </c>
      <c r="S10" s="186">
        <f t="shared" si="10"/>
        <v>10970.824703604188</v>
      </c>
      <c r="T10" s="80">
        <f t="shared" si="5"/>
        <v>1865.0401996127121</v>
      </c>
      <c r="U10" s="185">
        <f t="shared" si="6"/>
        <v>9105.7845039914755</v>
      </c>
      <c r="V10" s="185">
        <f>SUM($U$2:U10)</f>
        <v>36304.516880411924</v>
      </c>
      <c r="W10" s="185">
        <f t="shared" si="7"/>
        <v>49140.381783628822</v>
      </c>
    </row>
    <row r="11" spans="1:23">
      <c r="A11" s="25">
        <v>17.010000000000002</v>
      </c>
      <c r="B11" s="25">
        <f t="shared" si="2"/>
        <v>16.91</v>
      </c>
      <c r="C11" s="152">
        <f t="shared" ref="C11:C17" si="11">IF(B11="","",STDEV(A11:A19))</f>
        <v>8.5586213843118292E-2</v>
      </c>
      <c r="D11" s="27">
        <f t="shared" si="3"/>
        <v>5.0612781693150973E-3</v>
      </c>
      <c r="E11" s="159">
        <f t="shared" si="8"/>
        <v>1.7099291867674822</v>
      </c>
      <c r="F11" s="152">
        <f t="shared" si="4"/>
        <v>7.3249999999999722E-3</v>
      </c>
      <c r="G11" s="155">
        <f t="shared" si="1"/>
        <v>4.3317563571850811E-4</v>
      </c>
      <c r="H11" s="159">
        <f t="shared" si="9"/>
        <v>1.32</v>
      </c>
      <c r="I11" s="160"/>
      <c r="J11" s="25">
        <v>17.010000000000002</v>
      </c>
      <c r="K11" s="25">
        <v>28.54</v>
      </c>
      <c r="M11" s="25">
        <v>16.07</v>
      </c>
      <c r="N11" s="25">
        <v>27.8</v>
      </c>
      <c r="P11" s="25">
        <v>16.03</v>
      </c>
      <c r="Q11" s="25">
        <v>27.7</v>
      </c>
      <c r="S11" s="25">
        <f t="shared" ref="S11:S15" si="12">S10+T10+600</f>
        <v>13435.864903216901</v>
      </c>
      <c r="T11" s="80">
        <f t="shared" si="5"/>
        <v>2284.0970335468733</v>
      </c>
      <c r="U11" s="80">
        <f t="shared" si="6"/>
        <v>11151.767869670028</v>
      </c>
      <c r="V11" s="80">
        <f>SUM($U$2:U11)</f>
        <v>47456.284750081948</v>
      </c>
      <c r="W11" s="80">
        <f t="shared" si="7"/>
        <v>63176.246686845727</v>
      </c>
    </row>
    <row r="12" spans="1:23">
      <c r="A12" s="25">
        <v>17</v>
      </c>
      <c r="B12" s="25">
        <f>IF(COUNTBLANK(A12:A20)&gt;0,"",AVERAGE(A12:A20))</f>
        <v>16.880000000000003</v>
      </c>
      <c r="C12" s="152">
        <f t="shared" si="11"/>
        <v>9.3139680050985857E-2</v>
      </c>
      <c r="D12" s="27">
        <f t="shared" si="3"/>
        <v>5.517753557522858E-3</v>
      </c>
      <c r="E12" s="159">
        <f t="shared" si="8"/>
        <v>1.0901897451468334</v>
      </c>
      <c r="F12" s="152">
        <f t="shared" si="4"/>
        <v>8.6750000000000126E-3</v>
      </c>
      <c r="G12" s="155">
        <f t="shared" si="1"/>
        <v>5.1392180094786801E-4</v>
      </c>
      <c r="H12" s="159">
        <f t="shared" si="9"/>
        <v>1.19</v>
      </c>
      <c r="I12" s="160"/>
      <c r="J12" s="25">
        <v>17</v>
      </c>
      <c r="K12" s="25">
        <v>28.29</v>
      </c>
      <c r="M12" s="25">
        <v>16.07</v>
      </c>
      <c r="N12" s="25">
        <v>27.87</v>
      </c>
      <c r="P12" s="25">
        <v>16.13</v>
      </c>
      <c r="Q12" s="25">
        <v>28.15</v>
      </c>
      <c r="S12" s="25">
        <f t="shared" si="12"/>
        <v>16319.961936763775</v>
      </c>
      <c r="T12" s="80">
        <f t="shared" si="5"/>
        <v>2774.3935292498418</v>
      </c>
      <c r="U12" s="80">
        <f t="shared" si="6"/>
        <v>13545.568407513932</v>
      </c>
      <c r="V12" s="80">
        <f>SUM($U$2:U12)</f>
        <v>61001.853157595877</v>
      </c>
      <c r="W12" s="80">
        <f t="shared" si="7"/>
        <v>80096.208623609491</v>
      </c>
    </row>
    <row r="13" spans="1:23">
      <c r="A13" s="25">
        <v>16.940000000000001</v>
      </c>
      <c r="B13" s="25">
        <f t="shared" si="2"/>
        <v>16.845555555555553</v>
      </c>
      <c r="C13" s="152">
        <f t="shared" si="11"/>
        <v>0.10026354161796677</v>
      </c>
      <c r="D13" s="27">
        <f t="shared" si="3"/>
        <v>5.9519284648882073E-3</v>
      </c>
      <c r="E13" s="159">
        <f t="shared" si="8"/>
        <v>1.0786868972742356</v>
      </c>
      <c r="F13" s="152">
        <f t="shared" si="4"/>
        <v>1.0052777777777756E-2</v>
      </c>
      <c r="G13" s="155">
        <f t="shared" si="1"/>
        <v>5.9676142734647994E-4</v>
      </c>
      <c r="H13" s="159">
        <f t="shared" si="9"/>
        <v>1.1599999999999999</v>
      </c>
      <c r="I13" s="160"/>
      <c r="J13" s="25">
        <v>16.940000000000001</v>
      </c>
      <c r="K13" s="25">
        <v>28.17</v>
      </c>
      <c r="M13" s="25">
        <v>16.13</v>
      </c>
      <c r="N13" s="25">
        <v>27.84</v>
      </c>
      <c r="P13" s="25">
        <v>16.03</v>
      </c>
      <c r="Q13" s="25">
        <v>27.5</v>
      </c>
      <c r="S13" s="25">
        <f t="shared" si="12"/>
        <v>19694.355466013618</v>
      </c>
      <c r="T13" s="80">
        <f t="shared" si="5"/>
        <v>3348.0404292223157</v>
      </c>
      <c r="U13" s="80">
        <f t="shared" si="6"/>
        <v>16346.315036791302</v>
      </c>
      <c r="V13" s="80">
        <f>SUM($U$2:U13)</f>
        <v>77348.168194387181</v>
      </c>
      <c r="W13" s="80">
        <f t="shared" si="7"/>
        <v>100390.56408962311</v>
      </c>
    </row>
    <row r="14" spans="1:23">
      <c r="A14" s="25">
        <v>16.97</v>
      </c>
      <c r="B14" s="25">
        <f t="shared" si="2"/>
        <v>16.821111111111108</v>
      </c>
      <c r="C14" s="152">
        <f t="shared" si="11"/>
        <v>0.10117366807184119</v>
      </c>
      <c r="D14" s="27">
        <f t="shared" si="3"/>
        <v>6.0146840124616612E-3</v>
      </c>
      <c r="E14" s="159">
        <f t="shared" si="8"/>
        <v>1.0105437335048066</v>
      </c>
      <c r="F14" s="152">
        <f t="shared" si="4"/>
        <v>1.0236111111111097E-2</v>
      </c>
      <c r="G14" s="155">
        <f t="shared" si="1"/>
        <v>6.0852764383380602E-4</v>
      </c>
      <c r="H14" s="159">
        <f t="shared" si="9"/>
        <v>1.02</v>
      </c>
      <c r="I14" s="160"/>
      <c r="J14" s="25">
        <v>16.97</v>
      </c>
      <c r="M14" s="25">
        <v>16.13</v>
      </c>
      <c r="N14" s="25">
        <v>28.15</v>
      </c>
      <c r="P14" s="25">
        <v>16.559999999999999</v>
      </c>
      <c r="Q14" s="25">
        <v>26.75</v>
      </c>
      <c r="S14" s="25">
        <f t="shared" si="12"/>
        <v>23642.395895235932</v>
      </c>
      <c r="T14" s="80">
        <f t="shared" si="5"/>
        <v>4019.2073021901083</v>
      </c>
      <c r="U14" s="80">
        <f t="shared" si="6"/>
        <v>19623.188593045823</v>
      </c>
      <c r="V14" s="80">
        <f>SUM($U$2:U14)</f>
        <v>96971.356787433004</v>
      </c>
      <c r="W14" s="80">
        <f t="shared" si="7"/>
        <v>124632.95998485904</v>
      </c>
    </row>
    <row r="15" spans="1:23">
      <c r="A15" s="25">
        <v>16.940000000000001</v>
      </c>
      <c r="B15" s="25">
        <f>IF(COUNTBLANK(A15:A23)&gt;0,"",AVERAGE(A15:A23))</f>
        <v>16.8</v>
      </c>
      <c r="C15" s="152">
        <f t="shared" si="11"/>
        <v>8.4705371730487269E-2</v>
      </c>
      <c r="D15" s="27">
        <f t="shared" si="3"/>
        <v>5.041986412529004E-3</v>
      </c>
      <c r="E15" s="159">
        <f t="shared" si="8"/>
        <v>0.83827951760768293</v>
      </c>
      <c r="F15" s="152">
        <f t="shared" si="4"/>
        <v>7.1750000000000312E-3</v>
      </c>
      <c r="G15" s="155">
        <f t="shared" si="1"/>
        <v>4.2708333333333519E-4</v>
      </c>
      <c r="H15" s="159">
        <f t="shared" si="9"/>
        <v>0.7</v>
      </c>
      <c r="I15" s="160"/>
      <c r="J15" s="25">
        <v>16.940000000000001</v>
      </c>
      <c r="M15" s="25">
        <v>15.73</v>
      </c>
      <c r="N15" s="25">
        <v>27.49</v>
      </c>
      <c r="P15" s="25">
        <v>16.690000000000001</v>
      </c>
      <c r="Q15" s="25">
        <v>26.73</v>
      </c>
      <c r="S15" s="25">
        <f t="shared" si="12"/>
        <v>28261.60319742604</v>
      </c>
      <c r="T15" s="80">
        <f t="shared" si="5"/>
        <v>4804.4725435624268</v>
      </c>
      <c r="U15" s="80">
        <f t="shared" si="6"/>
        <v>23457.130653863613</v>
      </c>
      <c r="V15" s="80">
        <f>SUM($U$2:U15)</f>
        <v>120428.48744129662</v>
      </c>
      <c r="W15" s="80">
        <f t="shared" si="7"/>
        <v>153494.56318228508</v>
      </c>
    </row>
    <row r="16" spans="1:23">
      <c r="A16" s="25">
        <v>16.88</v>
      </c>
      <c r="B16" s="25">
        <f>IF(COUNTBLANK(A16:A24)&gt;0,"",AVERAGE(A16:A24))</f>
        <v>16.772222222222222</v>
      </c>
      <c r="C16" s="152">
        <f t="shared" si="11"/>
        <v>7.3276493123268505E-2</v>
      </c>
      <c r="D16" s="27">
        <f t="shared" ref="D16:D33" si="13">C16/B16</f>
        <v>4.3689197622352868E-3</v>
      </c>
      <c r="E16" s="159">
        <f t="shared" si="8"/>
        <v>0.86650764297555605</v>
      </c>
      <c r="F16" s="152">
        <f t="shared" si="4"/>
        <v>5.3694444444444163E-3</v>
      </c>
      <c r="G16" s="155">
        <f t="shared" si="1"/>
        <v>3.2013911891354583E-4</v>
      </c>
      <c r="H16" s="159">
        <f t="shared" si="9"/>
        <v>0.75</v>
      </c>
      <c r="I16" s="160"/>
      <c r="J16" s="25">
        <v>16.88</v>
      </c>
      <c r="M16" s="25">
        <v>15.84</v>
      </c>
      <c r="N16" s="25">
        <v>27.5</v>
      </c>
      <c r="S16" s="25">
        <f t="shared" ref="S16:S22" si="14">S15+T15+600</f>
        <v>33666.075740988468</v>
      </c>
      <c r="T16" s="80">
        <f t="shared" si="5"/>
        <v>5723.2328759680395</v>
      </c>
      <c r="U16" s="80">
        <f t="shared" si="6"/>
        <v>27942.84286502043</v>
      </c>
      <c r="V16" s="80">
        <f>SUM($U$2:U16)</f>
        <v>148371.33030631705</v>
      </c>
      <c r="W16" s="80">
        <f t="shared" si="7"/>
        <v>187760.63892327354</v>
      </c>
    </row>
    <row r="17" spans="1:23">
      <c r="A17" s="25">
        <v>16.89</v>
      </c>
      <c r="B17" s="25" t="str">
        <f t="shared" si="2"/>
        <v/>
      </c>
      <c r="C17" s="152" t="str">
        <f t="shared" si="11"/>
        <v/>
      </c>
      <c r="D17" s="27" t="e">
        <f t="shared" si="13"/>
        <v>#VALUE!</v>
      </c>
      <c r="E17" s="159" t="e">
        <f t="shared" si="8"/>
        <v>#VALUE!</v>
      </c>
      <c r="F17" s="152">
        <f t="shared" si="4"/>
        <v>4.2696428571428703E-3</v>
      </c>
      <c r="G17" s="155" t="e">
        <f t="shared" si="1"/>
        <v>#VALUE!</v>
      </c>
      <c r="H17" s="159" t="e">
        <f t="shared" si="9"/>
        <v>#VALUE!</v>
      </c>
      <c r="I17" s="160"/>
      <c r="J17" s="25">
        <v>16.89</v>
      </c>
      <c r="M17" s="25">
        <v>15.93</v>
      </c>
      <c r="N17" s="25">
        <v>27.48</v>
      </c>
      <c r="S17" s="25">
        <f t="shared" si="14"/>
        <v>39989.308616956507</v>
      </c>
      <c r="T17" s="80">
        <f t="shared" si="5"/>
        <v>6798.1824648826068</v>
      </c>
      <c r="U17" s="80">
        <f t="shared" si="6"/>
        <v>33191.126152073899</v>
      </c>
      <c r="V17" s="80">
        <f>SUM($U$2:U17)</f>
        <v>181562.45645839095</v>
      </c>
      <c r="W17" s="80">
        <f t="shared" si="7"/>
        <v>228349.94754023006</v>
      </c>
    </row>
    <row r="18" spans="1:23">
      <c r="A18" s="25">
        <v>16.78</v>
      </c>
      <c r="B18" s="25" t="str">
        <f t="shared" si="2"/>
        <v/>
      </c>
      <c r="C18" s="152" t="str">
        <f>IF(B18="","",STDEV(A17:A26))</f>
        <v/>
      </c>
      <c r="D18" s="27" t="e">
        <f t="shared" si="13"/>
        <v>#VALUE!</v>
      </c>
      <c r="E18" s="159" t="e">
        <f t="shared" si="8"/>
        <v>#VALUE!</v>
      </c>
      <c r="F18" s="152">
        <f t="shared" si="4"/>
        <v>1.7000000000000105E-3</v>
      </c>
      <c r="G18" s="155" t="e">
        <f t="shared" si="1"/>
        <v>#VALUE!</v>
      </c>
      <c r="H18" s="159" t="e">
        <f t="shared" si="9"/>
        <v>#VALUE!</v>
      </c>
      <c r="I18" s="160"/>
      <c r="J18" s="25">
        <v>16.78</v>
      </c>
      <c r="M18" s="25">
        <v>16.03</v>
      </c>
      <c r="N18" s="25">
        <v>27.5</v>
      </c>
      <c r="S18" s="25">
        <f t="shared" si="14"/>
        <v>47387.491081839114</v>
      </c>
      <c r="T18" s="80">
        <f t="shared" si="5"/>
        <v>8055.87348391265</v>
      </c>
      <c r="U18" s="80">
        <f t="shared" si="6"/>
        <v>39331.617597926466</v>
      </c>
      <c r="V18" s="80">
        <f>SUM($U$2:U18)</f>
        <v>220894.07405631742</v>
      </c>
      <c r="W18" s="80">
        <f t="shared" si="7"/>
        <v>276337.4386220692</v>
      </c>
    </row>
    <row r="19" spans="1:23">
      <c r="A19" s="25">
        <v>16.78</v>
      </c>
      <c r="B19" s="25" t="str">
        <f t="shared" si="2"/>
        <v/>
      </c>
      <c r="C19" s="152" t="str">
        <f t="shared" ref="C19:C50" si="15">IF(B19="","",STDEV(A19:A27))</f>
        <v/>
      </c>
      <c r="D19" s="27" t="e">
        <f t="shared" si="13"/>
        <v>#VALUE!</v>
      </c>
      <c r="E19" s="159" t="e">
        <f t="shared" si="8"/>
        <v>#VALUE!</v>
      </c>
      <c r="F19" s="152">
        <f t="shared" si="4"/>
        <v>1.666666666666667E-3</v>
      </c>
      <c r="G19" s="155" t="e">
        <f t="shared" si="1"/>
        <v>#VALUE!</v>
      </c>
      <c r="H19" s="159" t="e">
        <f t="shared" si="9"/>
        <v>#VALUE!</v>
      </c>
      <c r="I19" s="160"/>
      <c r="J19" s="25">
        <v>16.78</v>
      </c>
      <c r="M19" s="25">
        <v>15.97</v>
      </c>
      <c r="N19" s="25">
        <v>26.83</v>
      </c>
      <c r="S19" s="25">
        <f t="shared" si="14"/>
        <v>56043.364565751763</v>
      </c>
      <c r="T19" s="80">
        <f t="shared" si="5"/>
        <v>9527.3719761777993</v>
      </c>
      <c r="U19" s="80">
        <f t="shared" si="6"/>
        <v>46515.992589573965</v>
      </c>
      <c r="V19" s="80">
        <f>SUM($U$2:U19)</f>
        <v>267410.06664589141</v>
      </c>
      <c r="W19" s="80">
        <f t="shared" si="7"/>
        <v>332980.80318782094</v>
      </c>
    </row>
    <row r="20" spans="1:23">
      <c r="A20" s="25">
        <v>16.739999999999998</v>
      </c>
      <c r="B20" s="25" t="str">
        <f t="shared" si="2"/>
        <v/>
      </c>
      <c r="C20" s="152" t="str">
        <f t="shared" si="15"/>
        <v/>
      </c>
      <c r="D20" s="27" t="e">
        <f t="shared" si="13"/>
        <v>#VALUE!</v>
      </c>
      <c r="E20" s="159" t="e">
        <f t="shared" si="8"/>
        <v>#VALUE!</v>
      </c>
      <c r="F20" s="152">
        <f t="shared" si="4"/>
        <v>1.4299999999999782E-3</v>
      </c>
      <c r="G20" s="155" t="e">
        <f t="shared" si="1"/>
        <v>#VALUE!</v>
      </c>
      <c r="H20" s="159" t="e">
        <f t="shared" si="9"/>
        <v>#VALUE!</v>
      </c>
      <c r="I20" s="160"/>
      <c r="J20" s="25">
        <v>16.739999999999998</v>
      </c>
      <c r="M20" s="25">
        <v>16.36</v>
      </c>
      <c r="N20" s="25">
        <v>26.91</v>
      </c>
      <c r="S20" s="25">
        <f t="shared" si="14"/>
        <v>66170.736541929567</v>
      </c>
      <c r="T20" s="80">
        <f t="shared" si="5"/>
        <v>11249.025212128028</v>
      </c>
      <c r="U20" s="80">
        <f t="shared" si="6"/>
        <v>54921.711329801539</v>
      </c>
      <c r="V20" s="80">
        <f>SUM($U$2:U20)</f>
        <v>322331.77797569294</v>
      </c>
      <c r="W20" s="80">
        <f t="shared" si="7"/>
        <v>399751.53972975048</v>
      </c>
    </row>
    <row r="21" spans="1:23">
      <c r="A21" s="25">
        <v>16.690000000000001</v>
      </c>
      <c r="B21" s="25" t="str">
        <f t="shared" si="2"/>
        <v/>
      </c>
      <c r="C21" s="152" t="str">
        <f t="shared" si="15"/>
        <v/>
      </c>
      <c r="D21" s="27" t="e">
        <f t="shared" si="13"/>
        <v>#VALUE!</v>
      </c>
      <c r="E21" s="159" t="e">
        <f t="shared" si="8"/>
        <v>#VALUE!</v>
      </c>
      <c r="F21" s="152">
        <f t="shared" si="4"/>
        <v>1.7999999999999943E-3</v>
      </c>
      <c r="G21" s="155" t="e">
        <f t="shared" si="1"/>
        <v>#VALUE!</v>
      </c>
      <c r="H21" s="159" t="e">
        <f t="shared" si="9"/>
        <v>#VALUE!</v>
      </c>
      <c r="I21" s="160"/>
      <c r="J21" s="25">
        <v>16.690000000000001</v>
      </c>
      <c r="M21" s="25">
        <v>16.46</v>
      </c>
      <c r="N21" s="25">
        <v>26.72</v>
      </c>
      <c r="S21" s="25">
        <f t="shared" si="14"/>
        <v>78019.761754057603</v>
      </c>
      <c r="T21" s="80">
        <f t="shared" si="5"/>
        <v>13263.359498189791</v>
      </c>
      <c r="U21" s="80">
        <f t="shared" si="6"/>
        <v>64756.402255867812</v>
      </c>
      <c r="V21" s="80">
        <f>SUM($U$2:U21)</f>
        <v>387088.18023156072</v>
      </c>
      <c r="W21" s="80">
        <f t="shared" si="7"/>
        <v>478371.30148380809</v>
      </c>
    </row>
    <row r="22" spans="1:23">
      <c r="A22" s="25">
        <v>16.72</v>
      </c>
      <c r="B22" s="25" t="str">
        <f t="shared" si="2"/>
        <v/>
      </c>
      <c r="C22" s="152" t="str">
        <f t="shared" si="15"/>
        <v/>
      </c>
      <c r="D22" s="27" t="e">
        <f t="shared" si="13"/>
        <v>#VALUE!</v>
      </c>
      <c r="E22" s="159" t="e">
        <f t="shared" si="8"/>
        <v>#VALUE!</v>
      </c>
      <c r="F22" s="152">
        <f t="shared" si="4"/>
        <v>2.1000000000000168E-3</v>
      </c>
      <c r="G22" s="155" t="e">
        <f t="shared" si="1"/>
        <v>#VALUE!</v>
      </c>
      <c r="H22" s="159" t="e">
        <f t="shared" si="9"/>
        <v>#VALUE!</v>
      </c>
      <c r="I22" s="160"/>
      <c r="J22" s="25">
        <v>16.72</v>
      </c>
      <c r="M22" s="25">
        <v>16.559999999999999</v>
      </c>
      <c r="N22" s="25">
        <v>26.75</v>
      </c>
      <c r="S22" s="186">
        <f t="shared" si="14"/>
        <v>91883.121252247394</v>
      </c>
      <c r="T22" s="185">
        <f t="shared" si="5"/>
        <v>15620.130612882058</v>
      </c>
      <c r="U22" s="185">
        <f t="shared" si="6"/>
        <v>76262.990639365336</v>
      </c>
      <c r="V22" s="185">
        <f>SUM($U$2:U22)</f>
        <v>463351.17087092606</v>
      </c>
      <c r="W22" s="185">
        <f t="shared" si="7"/>
        <v>570854.42273605545</v>
      </c>
    </row>
    <row r="23" spans="1:23">
      <c r="A23" s="25">
        <v>16.78</v>
      </c>
      <c r="B23" s="25" t="str">
        <f t="shared" si="2"/>
        <v/>
      </c>
      <c r="C23" s="152" t="str">
        <f t="shared" si="15"/>
        <v/>
      </c>
      <c r="D23" s="27" t="e">
        <f t="shared" si="13"/>
        <v>#VALUE!</v>
      </c>
      <c r="E23" s="159" t="e">
        <f t="shared" si="8"/>
        <v>#VALUE!</v>
      </c>
      <c r="F23" s="152">
        <f t="shared" si="4"/>
        <v>4.0499999999999876E-3</v>
      </c>
      <c r="G23" s="155" t="e">
        <f t="shared" si="1"/>
        <v>#VALUE!</v>
      </c>
      <c r="H23" s="159" t="e">
        <f t="shared" si="9"/>
        <v>#VALUE!</v>
      </c>
      <c r="I23" s="160"/>
      <c r="J23" s="25">
        <v>16.78</v>
      </c>
      <c r="M23" s="25">
        <v>16.940000000000001</v>
      </c>
      <c r="N23" s="25">
        <v>26.88</v>
      </c>
      <c r="S23" s="25">
        <f t="shared" ref="S23" si="16">S22+T22+600</f>
        <v>108103.25186512945</v>
      </c>
      <c r="T23" s="80">
        <f t="shared" si="5"/>
        <v>18377.552817072006</v>
      </c>
      <c r="U23" s="80">
        <f t="shared" ref="U23" si="17">S23-T23</f>
        <v>89725.699048057446</v>
      </c>
      <c r="V23" s="80">
        <f>SUM($U$2:U23)</f>
        <v>553076.86991898355</v>
      </c>
      <c r="W23" s="80">
        <f t="shared" ref="W23" si="18">V23+T23+S23</f>
        <v>679557.67460118502</v>
      </c>
    </row>
    <row r="24" spans="1:23">
      <c r="A24" s="25">
        <v>16.690000000000001</v>
      </c>
      <c r="B24" s="25" t="str">
        <f t="shared" si="2"/>
        <v/>
      </c>
      <c r="C24" s="152" t="str">
        <f t="shared" si="15"/>
        <v/>
      </c>
      <c r="D24" s="27" t="e">
        <f t="shared" si="13"/>
        <v>#VALUE!</v>
      </c>
      <c r="E24" s="159" t="e">
        <f t="shared" si="8"/>
        <v>#VALUE!</v>
      </c>
      <c r="F24" s="152" t="e">
        <f t="shared" si="4"/>
        <v>#DIV/0!</v>
      </c>
      <c r="G24" s="155" t="e">
        <f t="shared" si="1"/>
        <v>#DIV/0!</v>
      </c>
      <c r="H24" s="159" t="e">
        <f t="shared" si="9"/>
        <v>#DIV/0!</v>
      </c>
      <c r="I24" s="160"/>
      <c r="J24" s="25">
        <v>16.690000000000001</v>
      </c>
      <c r="M24" s="25">
        <v>17</v>
      </c>
      <c r="N24" s="25">
        <v>26.94</v>
      </c>
      <c r="S24" s="25">
        <f t="shared" ref="S24:S29" si="19">S23+T23+600</f>
        <v>127080.80468220146</v>
      </c>
      <c r="T24" s="80">
        <f t="shared" si="5"/>
        <v>21603.736795974248</v>
      </c>
      <c r="U24" s="80">
        <f t="shared" ref="U24:U29" si="20">S24-T24</f>
        <v>105477.06788622722</v>
      </c>
      <c r="V24" s="80">
        <f>SUM($U$2:U24)</f>
        <v>658553.93780521071</v>
      </c>
      <c r="W24" s="80">
        <f t="shared" ref="W24:W29" si="21">V24+T24+S24</f>
        <v>807238.47928338638</v>
      </c>
    </row>
    <row r="25" spans="1:23">
      <c r="B25" s="25" t="str">
        <f t="shared" si="2"/>
        <v/>
      </c>
      <c r="C25" s="152" t="str">
        <f t="shared" si="15"/>
        <v/>
      </c>
      <c r="D25" s="27" t="e">
        <f t="shared" si="13"/>
        <v>#VALUE!</v>
      </c>
      <c r="E25" s="159" t="e">
        <f t="shared" si="8"/>
        <v>#VALUE!</v>
      </c>
      <c r="F25" s="152" t="e">
        <f t="shared" si="4"/>
        <v>#DIV/0!</v>
      </c>
      <c r="G25" s="155" t="e">
        <f t="shared" si="1"/>
        <v>#DIV/0!</v>
      </c>
      <c r="H25" s="159" t="e">
        <f t="shared" si="9"/>
        <v>#DIV/0!</v>
      </c>
      <c r="I25" s="160"/>
      <c r="M25" s="25">
        <v>16.739999999999998</v>
      </c>
      <c r="N25" s="25">
        <v>26.72</v>
      </c>
      <c r="S25" s="25">
        <f t="shared" si="19"/>
        <v>149284.5414781757</v>
      </c>
      <c r="T25" s="80">
        <f t="shared" si="5"/>
        <v>25378.372051289869</v>
      </c>
      <c r="U25" s="80">
        <f t="shared" si="20"/>
        <v>123906.16942688583</v>
      </c>
      <c r="V25" s="80">
        <f>SUM($U$2:U25)</f>
        <v>782460.10723209649</v>
      </c>
      <c r="W25" s="80">
        <f t="shared" si="21"/>
        <v>957123.02076156205</v>
      </c>
    </row>
    <row r="26" spans="1:23">
      <c r="B26" s="25" t="str">
        <f t="shared" si="2"/>
        <v/>
      </c>
      <c r="C26" s="152" t="str">
        <f t="shared" si="15"/>
        <v/>
      </c>
      <c r="D26" s="27" t="e">
        <f t="shared" si="13"/>
        <v>#VALUE!</v>
      </c>
      <c r="E26" s="159" t="e">
        <f t="shared" si="8"/>
        <v>#VALUE!</v>
      </c>
      <c r="F26" s="152" t="e">
        <f t="shared" si="4"/>
        <v>#DIV/0!</v>
      </c>
      <c r="G26" s="155" t="e">
        <f t="shared" si="1"/>
        <v>#DIV/0!</v>
      </c>
      <c r="H26" s="159" t="e">
        <f t="shared" si="9"/>
        <v>#DIV/0!</v>
      </c>
      <c r="I26" s="160"/>
      <c r="M26" s="25">
        <v>16.690000000000001</v>
      </c>
      <c r="N26" s="25">
        <v>26.73</v>
      </c>
      <c r="S26" s="25">
        <f t="shared" si="19"/>
        <v>175262.91352946556</v>
      </c>
      <c r="T26" s="80">
        <f t="shared" si="5"/>
        <v>29794.695300009145</v>
      </c>
      <c r="U26" s="80">
        <f t="shared" si="20"/>
        <v>145468.2182294564</v>
      </c>
      <c r="V26" s="80">
        <f>SUM($U$2:U26)</f>
        <v>927928.32546155294</v>
      </c>
      <c r="W26" s="80">
        <f t="shared" si="21"/>
        <v>1132985.9342910275</v>
      </c>
    </row>
    <row r="27" spans="1:23">
      <c r="B27" s="25" t="str">
        <f t="shared" si="2"/>
        <v/>
      </c>
      <c r="C27" s="152" t="str">
        <f t="shared" si="15"/>
        <v/>
      </c>
      <c r="D27" s="27" t="e">
        <f t="shared" si="13"/>
        <v>#VALUE!</v>
      </c>
      <c r="E27" s="159" t="e">
        <f t="shared" si="8"/>
        <v>#VALUE!</v>
      </c>
      <c r="F27" s="152" t="e">
        <f t="shared" si="4"/>
        <v>#DIV/0!</v>
      </c>
      <c r="G27" s="155" t="e">
        <f t="shared" si="1"/>
        <v>#DIV/0!</v>
      </c>
      <c r="H27" s="159" t="e">
        <f t="shared" si="9"/>
        <v>#DIV/0!</v>
      </c>
      <c r="I27" s="160"/>
      <c r="S27" s="25">
        <f t="shared" si="19"/>
        <v>205657.60882947472</v>
      </c>
      <c r="T27" s="80">
        <f t="shared" si="5"/>
        <v>34961.793501010703</v>
      </c>
      <c r="U27" s="80">
        <f t="shared" si="20"/>
        <v>170695.81532846403</v>
      </c>
      <c r="V27" s="80">
        <f>SUM($U$2:U27)</f>
        <v>1098624.1407900169</v>
      </c>
      <c r="W27" s="80">
        <f t="shared" si="21"/>
        <v>1339243.5431205023</v>
      </c>
    </row>
    <row r="28" spans="1:23">
      <c r="B28" s="25" t="str">
        <f t="shared" si="2"/>
        <v/>
      </c>
      <c r="C28" s="152" t="str">
        <f t="shared" si="15"/>
        <v/>
      </c>
      <c r="D28" s="27" t="e">
        <f t="shared" si="13"/>
        <v>#VALUE!</v>
      </c>
      <c r="E28" s="159" t="e">
        <f t="shared" si="8"/>
        <v>#VALUE!</v>
      </c>
      <c r="F28" s="152" t="e">
        <f t="shared" si="4"/>
        <v>#DIV/0!</v>
      </c>
      <c r="G28" s="155" t="e">
        <f t="shared" si="1"/>
        <v>#DIV/0!</v>
      </c>
      <c r="H28" s="159" t="e">
        <f t="shared" si="9"/>
        <v>#DIV/0!</v>
      </c>
      <c r="I28" s="160"/>
      <c r="S28" s="25">
        <f t="shared" si="19"/>
        <v>241219.40233048541</v>
      </c>
      <c r="T28" s="80">
        <f t="shared" si="5"/>
        <v>41007.298396182523</v>
      </c>
      <c r="U28" s="80">
        <f t="shared" si="20"/>
        <v>200212.10393430287</v>
      </c>
      <c r="V28" s="80">
        <f>SUM($U$2:U28)</f>
        <v>1298836.2447243198</v>
      </c>
      <c r="W28" s="80">
        <f t="shared" si="21"/>
        <v>1581062.9454509877</v>
      </c>
    </row>
    <row r="29" spans="1:23">
      <c r="B29" s="25" t="str">
        <f t="shared" si="2"/>
        <v/>
      </c>
      <c r="C29" s="152" t="str">
        <f t="shared" si="15"/>
        <v/>
      </c>
      <c r="D29" s="27" t="e">
        <f t="shared" si="13"/>
        <v>#VALUE!</v>
      </c>
      <c r="E29" s="159" t="e">
        <f t="shared" si="8"/>
        <v>#VALUE!</v>
      </c>
      <c r="F29" s="152" t="e">
        <f t="shared" si="4"/>
        <v>#DIV/0!</v>
      </c>
      <c r="G29" s="155" t="e">
        <f t="shared" si="1"/>
        <v>#DIV/0!</v>
      </c>
      <c r="H29" s="159" t="e">
        <f t="shared" si="9"/>
        <v>#DIV/0!</v>
      </c>
      <c r="I29" s="160"/>
      <c r="S29" s="25">
        <f t="shared" si="19"/>
        <v>282826.70072666794</v>
      </c>
      <c r="T29" s="80">
        <f t="shared" si="5"/>
        <v>48080.539123533556</v>
      </c>
      <c r="U29" s="80">
        <f t="shared" si="20"/>
        <v>234746.16160313439</v>
      </c>
      <c r="V29" s="80">
        <f>SUM($U$2:U29)</f>
        <v>1533582.4063274541</v>
      </c>
      <c r="W29" s="80">
        <f t="shared" si="21"/>
        <v>1864489.6461776556</v>
      </c>
    </row>
    <row r="30" spans="1:23">
      <c r="B30" s="25" t="str">
        <f t="shared" si="2"/>
        <v/>
      </c>
      <c r="C30" s="152" t="str">
        <f t="shared" si="15"/>
        <v/>
      </c>
      <c r="D30" s="27" t="e">
        <f t="shared" si="13"/>
        <v>#VALUE!</v>
      </c>
      <c r="E30" s="159" t="e">
        <f t="shared" si="8"/>
        <v>#VALUE!</v>
      </c>
      <c r="F30" s="152" t="e">
        <f t="shared" si="4"/>
        <v>#DIV/0!</v>
      </c>
      <c r="G30" s="155" t="e">
        <f t="shared" si="1"/>
        <v>#DIV/0!</v>
      </c>
      <c r="H30" s="159" t="e">
        <f t="shared" si="9"/>
        <v>#DIV/0!</v>
      </c>
      <c r="I30" s="160"/>
      <c r="S30" s="25">
        <f t="shared" ref="S30:S34" si="22">S29+T29+600</f>
        <v>331507.23985020153</v>
      </c>
      <c r="T30" s="80">
        <f t="shared" si="5"/>
        <v>56356.230774534262</v>
      </c>
      <c r="U30" s="80">
        <f t="shared" ref="U30:U34" si="23">S30-T30</f>
        <v>275151.00907566724</v>
      </c>
      <c r="V30" s="80">
        <f>SUM($U$2:U30)</f>
        <v>1808733.4154031214</v>
      </c>
      <c r="W30" s="80">
        <f t="shared" ref="W30:W34" si="24">V30+T30+S30</f>
        <v>2196596.8860278572</v>
      </c>
    </row>
    <row r="31" spans="1:23">
      <c r="B31" s="25" t="str">
        <f t="shared" si="2"/>
        <v/>
      </c>
      <c r="C31" s="152" t="str">
        <f t="shared" si="15"/>
        <v/>
      </c>
      <c r="D31" s="27" t="e">
        <f t="shared" si="13"/>
        <v>#VALUE!</v>
      </c>
      <c r="E31" s="159" t="e">
        <f t="shared" si="8"/>
        <v>#VALUE!</v>
      </c>
      <c r="F31" s="152" t="e">
        <f t="shared" si="4"/>
        <v>#DIV/0!</v>
      </c>
      <c r="G31" s="155" t="e">
        <f t="shared" si="1"/>
        <v>#DIV/0!</v>
      </c>
      <c r="H31" s="159" t="e">
        <f t="shared" si="9"/>
        <v>#DIV/0!</v>
      </c>
      <c r="I31" s="160"/>
      <c r="S31" s="25">
        <f t="shared" si="22"/>
        <v>388463.47062473581</v>
      </c>
      <c r="T31" s="80">
        <f t="shared" si="5"/>
        <v>66038.79000620509</v>
      </c>
      <c r="U31" s="80">
        <f t="shared" si="23"/>
        <v>322424.68061853072</v>
      </c>
      <c r="V31" s="80">
        <f>SUM($U$2:U31)</f>
        <v>2131158.0960216522</v>
      </c>
      <c r="W31" s="80">
        <f t="shared" si="24"/>
        <v>2585660.3566525932</v>
      </c>
    </row>
    <row r="32" spans="1:23">
      <c r="B32" s="25" t="str">
        <f t="shared" si="2"/>
        <v/>
      </c>
      <c r="C32" s="152" t="str">
        <f t="shared" si="15"/>
        <v/>
      </c>
      <c r="D32" s="27" t="e">
        <f t="shared" si="13"/>
        <v>#VALUE!</v>
      </c>
      <c r="E32" s="159" t="e">
        <f t="shared" si="8"/>
        <v>#VALUE!</v>
      </c>
      <c r="F32" s="152" t="e">
        <f t="shared" si="4"/>
        <v>#DIV/0!</v>
      </c>
      <c r="G32" s="155" t="e">
        <f t="shared" si="1"/>
        <v>#DIV/0!</v>
      </c>
      <c r="H32" s="159" t="e">
        <f t="shared" si="9"/>
        <v>#DIV/0!</v>
      </c>
      <c r="I32" s="160"/>
      <c r="S32" s="25">
        <f t="shared" si="22"/>
        <v>455102.2606309409</v>
      </c>
      <c r="T32" s="80">
        <f t="shared" si="5"/>
        <v>77367.384307259956</v>
      </c>
      <c r="U32" s="80">
        <f t="shared" si="23"/>
        <v>377734.87632368098</v>
      </c>
      <c r="V32" s="80">
        <f>SUM($U$2:U32)</f>
        <v>2508892.9723453331</v>
      </c>
      <c r="W32" s="80">
        <f t="shared" si="24"/>
        <v>3041362.6172835343</v>
      </c>
    </row>
    <row r="33" spans="2:23">
      <c r="B33" s="25" t="str">
        <f t="shared" si="2"/>
        <v/>
      </c>
      <c r="C33" s="152" t="str">
        <f t="shared" si="15"/>
        <v/>
      </c>
      <c r="D33" s="27" t="e">
        <f t="shared" si="13"/>
        <v>#VALUE!</v>
      </c>
      <c r="E33" s="159" t="e">
        <f t="shared" si="8"/>
        <v>#VALUE!</v>
      </c>
      <c r="F33" s="152" t="e">
        <f t="shared" si="4"/>
        <v>#DIV/0!</v>
      </c>
      <c r="G33" s="155" t="e">
        <f t="shared" si="1"/>
        <v>#DIV/0!</v>
      </c>
      <c r="H33" s="159" t="e">
        <f t="shared" si="9"/>
        <v>#DIV/0!</v>
      </c>
      <c r="I33" s="160"/>
      <c r="S33" s="25">
        <f t="shared" si="22"/>
        <v>533069.64493820083</v>
      </c>
      <c r="T33" s="80">
        <f t="shared" si="5"/>
        <v>90621.839639494137</v>
      </c>
      <c r="U33" s="80">
        <f t="shared" si="23"/>
        <v>442447.80529870669</v>
      </c>
      <c r="V33" s="80">
        <f>SUM($U$2:U33)</f>
        <v>2951340.7776440396</v>
      </c>
      <c r="W33" s="80">
        <f t="shared" si="24"/>
        <v>3575032.2622217345</v>
      </c>
    </row>
    <row r="34" spans="2:23">
      <c r="B34" s="25" t="str">
        <f t="shared" si="2"/>
        <v/>
      </c>
      <c r="C34" s="152" t="str">
        <f t="shared" si="15"/>
        <v/>
      </c>
      <c r="D34" s="27" t="e">
        <f t="shared" ref="D34:D49" si="25">C34/B34</f>
        <v>#VALUE!</v>
      </c>
      <c r="E34" s="159" t="e">
        <f t="shared" si="8"/>
        <v>#VALUE!</v>
      </c>
      <c r="F34" s="152" t="e">
        <f t="shared" si="4"/>
        <v>#DIV/0!</v>
      </c>
      <c r="G34" s="155" t="e">
        <f t="shared" ref="G34:G65" si="26">F34/B34</f>
        <v>#DIV/0!</v>
      </c>
      <c r="H34" s="159" t="e">
        <f t="shared" si="9"/>
        <v>#DIV/0!</v>
      </c>
      <c r="I34" s="160"/>
      <c r="S34" s="186">
        <f t="shared" si="22"/>
        <v>624291.48457769491</v>
      </c>
      <c r="T34" s="185">
        <f t="shared" si="5"/>
        <v>106129.55237820813</v>
      </c>
      <c r="U34" s="185">
        <f t="shared" si="23"/>
        <v>518161.93219948676</v>
      </c>
      <c r="V34" s="185">
        <f>SUM($U$2:U34)</f>
        <v>3469502.7098435266</v>
      </c>
      <c r="W34" s="185">
        <f t="shared" si="24"/>
        <v>4199923.7467994299</v>
      </c>
    </row>
    <row r="35" spans="2:23">
      <c r="B35" s="25" t="str">
        <f t="shared" si="2"/>
        <v/>
      </c>
      <c r="C35" s="152" t="str">
        <f t="shared" si="15"/>
        <v/>
      </c>
      <c r="D35" s="27" t="e">
        <f t="shared" si="25"/>
        <v>#VALUE!</v>
      </c>
      <c r="E35" s="159" t="e">
        <f t="shared" si="8"/>
        <v>#VALUE!</v>
      </c>
      <c r="F35" s="152" t="e">
        <f t="shared" si="4"/>
        <v>#DIV/0!</v>
      </c>
      <c r="G35" s="155" t="e">
        <f t="shared" si="26"/>
        <v>#DIV/0!</v>
      </c>
      <c r="H35" s="159" t="e">
        <f t="shared" si="9"/>
        <v>#DIV/0!</v>
      </c>
      <c r="I35" s="160"/>
      <c r="S35" s="25">
        <f t="shared" ref="S35" si="27">S34+T34+600</f>
        <v>731021.03695590305</v>
      </c>
      <c r="T35" s="80">
        <f t="shared" si="5"/>
        <v>124273.57628250353</v>
      </c>
      <c r="U35" s="80">
        <f t="shared" ref="U35" si="28">S35-T35</f>
        <v>606747.4606733995</v>
      </c>
      <c r="V35" s="80">
        <f>SUM($U$2:U35)</f>
        <v>4076250.1705169259</v>
      </c>
      <c r="W35" s="80">
        <f t="shared" ref="W35" si="29">V35+T35+S35</f>
        <v>4931544.7837553322</v>
      </c>
    </row>
    <row r="36" spans="2:23">
      <c r="B36" s="25" t="str">
        <f t="shared" si="2"/>
        <v/>
      </c>
      <c r="C36" s="152" t="str">
        <f t="shared" si="15"/>
        <v/>
      </c>
      <c r="D36" s="27" t="e">
        <f t="shared" si="25"/>
        <v>#VALUE!</v>
      </c>
      <c r="E36" s="159" t="e">
        <f t="shared" si="8"/>
        <v>#VALUE!</v>
      </c>
      <c r="F36" s="152" t="e">
        <f t="shared" si="4"/>
        <v>#DIV/0!</v>
      </c>
      <c r="G36" s="155" t="e">
        <f t="shared" si="26"/>
        <v>#DIV/0!</v>
      </c>
      <c r="H36" s="159" t="e">
        <f t="shared" si="9"/>
        <v>#DIV/0!</v>
      </c>
      <c r="I36" s="160"/>
      <c r="S36" s="25">
        <f t="shared" ref="S36:S47" si="30">S35+T35+600</f>
        <v>855894.6132384066</v>
      </c>
      <c r="T36" s="80">
        <f t="shared" si="5"/>
        <v>145502.08425052912</v>
      </c>
      <c r="U36" s="80">
        <f t="shared" ref="U36:U47" si="31">S36-T36</f>
        <v>710392.52898787754</v>
      </c>
      <c r="V36" s="80">
        <f>SUM($U$2:U36)</f>
        <v>4786642.6995048039</v>
      </c>
      <c r="W36" s="80">
        <f t="shared" ref="W36:W47" si="32">V36+T36+S36</f>
        <v>5788039.3969937395</v>
      </c>
    </row>
    <row r="37" spans="2:23">
      <c r="B37" s="25" t="str">
        <f t="shared" si="2"/>
        <v/>
      </c>
      <c r="C37" s="152" t="str">
        <f t="shared" si="15"/>
        <v/>
      </c>
      <c r="D37" s="27" t="e">
        <f t="shared" si="25"/>
        <v>#VALUE!</v>
      </c>
      <c r="E37" s="159" t="e">
        <f t="shared" si="8"/>
        <v>#VALUE!</v>
      </c>
      <c r="F37" s="152" t="e">
        <f t="shared" si="4"/>
        <v>#DIV/0!</v>
      </c>
      <c r="G37" s="155" t="e">
        <f t="shared" si="26"/>
        <v>#DIV/0!</v>
      </c>
      <c r="H37" s="159" t="e">
        <f t="shared" si="9"/>
        <v>#DIV/0!</v>
      </c>
      <c r="I37" s="160"/>
      <c r="S37" s="25">
        <f t="shared" si="30"/>
        <v>1001996.6974889357</v>
      </c>
      <c r="T37" s="80">
        <f t="shared" si="5"/>
        <v>170339.43857311909</v>
      </c>
      <c r="U37" s="80">
        <f t="shared" si="31"/>
        <v>831657.25891581655</v>
      </c>
      <c r="V37" s="80">
        <f>SUM($U$2:U37)</f>
        <v>5618299.9584206203</v>
      </c>
      <c r="W37" s="80">
        <f t="shared" si="32"/>
        <v>6790636.0944826752</v>
      </c>
    </row>
    <row r="38" spans="2:23">
      <c r="B38" s="25" t="str">
        <f t="shared" si="2"/>
        <v/>
      </c>
      <c r="C38" s="152" t="str">
        <f t="shared" si="15"/>
        <v/>
      </c>
      <c r="D38" s="27" t="e">
        <f t="shared" si="25"/>
        <v>#VALUE!</v>
      </c>
      <c r="E38" s="159" t="e">
        <f t="shared" si="8"/>
        <v>#VALUE!</v>
      </c>
      <c r="F38" s="152" t="e">
        <f t="shared" si="4"/>
        <v>#DIV/0!</v>
      </c>
      <c r="G38" s="155" t="e">
        <f t="shared" si="26"/>
        <v>#DIV/0!</v>
      </c>
      <c r="H38" s="159" t="e">
        <f t="shared" si="9"/>
        <v>#DIV/0!</v>
      </c>
      <c r="I38" s="160"/>
      <c r="S38" s="25">
        <f t="shared" si="30"/>
        <v>1172936.1360620547</v>
      </c>
      <c r="T38" s="80">
        <f t="shared" si="5"/>
        <v>199399.14313054929</v>
      </c>
      <c r="U38" s="80">
        <f t="shared" si="31"/>
        <v>973536.99293150543</v>
      </c>
      <c r="V38" s="80">
        <f>SUM($U$2:U38)</f>
        <v>6591836.951352126</v>
      </c>
      <c r="W38" s="80">
        <f t="shared" si="32"/>
        <v>7964172.2305447301</v>
      </c>
    </row>
    <row r="39" spans="2:23">
      <c r="B39" s="25" t="str">
        <f t="shared" si="2"/>
        <v/>
      </c>
      <c r="C39" s="152" t="str">
        <f t="shared" si="15"/>
        <v/>
      </c>
      <c r="D39" s="27" t="e">
        <f t="shared" si="25"/>
        <v>#VALUE!</v>
      </c>
      <c r="E39" s="159" t="e">
        <f t="shared" si="8"/>
        <v>#VALUE!</v>
      </c>
      <c r="F39" s="152" t="e">
        <f t="shared" si="4"/>
        <v>#DIV/0!</v>
      </c>
      <c r="G39" s="155" t="e">
        <f t="shared" si="26"/>
        <v>#DIV/0!</v>
      </c>
      <c r="H39" s="159" t="e">
        <f t="shared" si="9"/>
        <v>#DIV/0!</v>
      </c>
      <c r="I39" s="160"/>
      <c r="S39" s="25">
        <f t="shared" si="30"/>
        <v>1372935.2791926039</v>
      </c>
      <c r="T39" s="80">
        <f t="shared" si="5"/>
        <v>233398.99746274264</v>
      </c>
      <c r="U39" s="80">
        <f t="shared" si="31"/>
        <v>1139536.2817298612</v>
      </c>
      <c r="V39" s="80">
        <f>SUM($U$2:U39)</f>
        <v>7731373.2330819871</v>
      </c>
      <c r="W39" s="80">
        <f t="shared" si="32"/>
        <v>9337707.5097373333</v>
      </c>
    </row>
    <row r="40" spans="2:23">
      <c r="B40" s="25" t="str">
        <f t="shared" si="2"/>
        <v/>
      </c>
      <c r="C40" s="152" t="str">
        <f t="shared" si="15"/>
        <v/>
      </c>
      <c r="D40" s="27" t="e">
        <f t="shared" si="25"/>
        <v>#VALUE!</v>
      </c>
      <c r="E40" s="159" t="e">
        <f t="shared" si="8"/>
        <v>#VALUE!</v>
      </c>
      <c r="F40" s="152" t="e">
        <f t="shared" si="4"/>
        <v>#DIV/0!</v>
      </c>
      <c r="G40" s="155" t="e">
        <f t="shared" si="26"/>
        <v>#DIV/0!</v>
      </c>
      <c r="H40" s="159" t="e">
        <f t="shared" si="9"/>
        <v>#DIV/0!</v>
      </c>
      <c r="I40" s="160"/>
      <c r="S40" s="25">
        <f t="shared" si="30"/>
        <v>1606934.2766553466</v>
      </c>
      <c r="T40" s="80">
        <f t="shared" si="5"/>
        <v>273178.8270314089</v>
      </c>
      <c r="U40" s="80">
        <f t="shared" si="31"/>
        <v>1333755.4496239377</v>
      </c>
      <c r="V40" s="80">
        <f>SUM($U$2:U40)</f>
        <v>9065128.6827059239</v>
      </c>
      <c r="W40" s="80">
        <f t="shared" si="32"/>
        <v>10945241.786392679</v>
      </c>
    </row>
    <row r="41" spans="2:23">
      <c r="B41" s="25" t="str">
        <f t="shared" si="2"/>
        <v/>
      </c>
      <c r="C41" s="152" t="str">
        <f t="shared" si="15"/>
        <v/>
      </c>
      <c r="D41" s="27" t="e">
        <f t="shared" si="25"/>
        <v>#VALUE!</v>
      </c>
      <c r="E41" s="159" t="e">
        <f t="shared" si="8"/>
        <v>#VALUE!</v>
      </c>
      <c r="F41" s="152" t="e">
        <f t="shared" si="4"/>
        <v>#DIV/0!</v>
      </c>
      <c r="G41" s="155" t="e">
        <f t="shared" si="26"/>
        <v>#DIV/0!</v>
      </c>
      <c r="H41" s="159" t="e">
        <f t="shared" si="9"/>
        <v>#DIV/0!</v>
      </c>
      <c r="I41" s="160"/>
      <c r="S41" s="25">
        <f t="shared" si="30"/>
        <v>1880713.1036867555</v>
      </c>
      <c r="T41" s="80">
        <f t="shared" si="5"/>
        <v>319721.22762674844</v>
      </c>
      <c r="U41" s="80">
        <f t="shared" si="31"/>
        <v>1560991.8760600071</v>
      </c>
      <c r="V41" s="80">
        <f>SUM($U$2:U41)</f>
        <v>10626120.558765931</v>
      </c>
      <c r="W41" s="80">
        <f t="shared" si="32"/>
        <v>12826554.890079435</v>
      </c>
    </row>
    <row r="42" spans="2:23">
      <c r="B42" s="25" t="str">
        <f t="shared" si="2"/>
        <v/>
      </c>
      <c r="C42" s="152" t="str">
        <f t="shared" si="15"/>
        <v/>
      </c>
      <c r="D42" s="27" t="e">
        <f t="shared" si="25"/>
        <v>#VALUE!</v>
      </c>
      <c r="E42" s="159" t="e">
        <f t="shared" si="8"/>
        <v>#VALUE!</v>
      </c>
      <c r="F42" s="152" t="e">
        <f t="shared" si="4"/>
        <v>#DIV/0!</v>
      </c>
      <c r="G42" s="155" t="e">
        <f t="shared" si="26"/>
        <v>#DIV/0!</v>
      </c>
      <c r="H42" s="159" t="e">
        <f t="shared" si="9"/>
        <v>#DIV/0!</v>
      </c>
      <c r="I42" s="160"/>
      <c r="S42" s="25">
        <f t="shared" si="30"/>
        <v>2201034.3313135039</v>
      </c>
      <c r="T42" s="80">
        <f t="shared" si="5"/>
        <v>374175.83632329572</v>
      </c>
      <c r="U42" s="80">
        <f t="shared" si="31"/>
        <v>1826858.4949902082</v>
      </c>
      <c r="V42" s="80">
        <f>SUM($U$2:U42)</f>
        <v>12452979.05375614</v>
      </c>
      <c r="W42" s="80">
        <f t="shared" si="32"/>
        <v>15028189.221392939</v>
      </c>
    </row>
    <row r="43" spans="2:23">
      <c r="B43" s="25" t="str">
        <f t="shared" si="2"/>
        <v/>
      </c>
      <c r="C43" s="152" t="str">
        <f t="shared" si="15"/>
        <v/>
      </c>
      <c r="D43" s="27" t="e">
        <f t="shared" si="25"/>
        <v>#VALUE!</v>
      </c>
      <c r="E43" s="159" t="e">
        <f t="shared" si="8"/>
        <v>#VALUE!</v>
      </c>
      <c r="F43" s="152" t="e">
        <f t="shared" si="4"/>
        <v>#DIV/0!</v>
      </c>
      <c r="G43" s="155" t="e">
        <f t="shared" si="26"/>
        <v>#DIV/0!</v>
      </c>
      <c r="H43" s="159" t="e">
        <f t="shared" si="9"/>
        <v>#DIV/0!</v>
      </c>
      <c r="I43" s="160"/>
      <c r="S43" s="25">
        <f t="shared" si="30"/>
        <v>2575810.1676367996</v>
      </c>
      <c r="T43" s="80">
        <f t="shared" si="5"/>
        <v>437887.72849825595</v>
      </c>
      <c r="U43" s="80">
        <f t="shared" si="31"/>
        <v>2137922.4391385438</v>
      </c>
      <c r="V43" s="80">
        <f>SUM($U$2:U43)</f>
        <v>14590901.492894683</v>
      </c>
      <c r="W43" s="80">
        <f t="shared" si="32"/>
        <v>17604599.389029738</v>
      </c>
    </row>
    <row r="44" spans="2:23">
      <c r="B44" s="25" t="str">
        <f t="shared" si="2"/>
        <v/>
      </c>
      <c r="C44" s="152" t="str">
        <f t="shared" si="15"/>
        <v/>
      </c>
      <c r="D44" s="27" t="e">
        <f t="shared" si="25"/>
        <v>#VALUE!</v>
      </c>
      <c r="E44" s="159" t="e">
        <f t="shared" si="8"/>
        <v>#VALUE!</v>
      </c>
      <c r="F44" s="152" t="e">
        <f t="shared" si="4"/>
        <v>#DIV/0!</v>
      </c>
      <c r="G44" s="155" t="e">
        <f t="shared" si="26"/>
        <v>#DIV/0!</v>
      </c>
      <c r="H44" s="159" t="e">
        <f t="shared" si="9"/>
        <v>#DIV/0!</v>
      </c>
      <c r="I44" s="160"/>
      <c r="S44" s="25">
        <f t="shared" si="30"/>
        <v>3014297.8961350555</v>
      </c>
      <c r="T44" s="80">
        <f t="shared" si="5"/>
        <v>512430.64234295947</v>
      </c>
      <c r="U44" s="80">
        <f t="shared" si="31"/>
        <v>2501867.2537920959</v>
      </c>
      <c r="V44" s="80">
        <f>SUM($U$2:U44)</f>
        <v>17092768.746686779</v>
      </c>
      <c r="W44" s="80">
        <f t="shared" si="32"/>
        <v>20619497.285164792</v>
      </c>
    </row>
    <row r="45" spans="2:23">
      <c r="B45" s="25" t="str">
        <f t="shared" si="2"/>
        <v/>
      </c>
      <c r="C45" s="152" t="str">
        <f t="shared" si="15"/>
        <v/>
      </c>
      <c r="D45" s="27" t="e">
        <f t="shared" si="25"/>
        <v>#VALUE!</v>
      </c>
      <c r="E45" s="159" t="e">
        <f t="shared" si="8"/>
        <v>#VALUE!</v>
      </c>
      <c r="F45" s="152" t="e">
        <f t="shared" si="4"/>
        <v>#DIV/0!</v>
      </c>
      <c r="G45" s="155" t="e">
        <f t="shared" si="26"/>
        <v>#DIV/0!</v>
      </c>
      <c r="H45" s="159" t="e">
        <f t="shared" si="9"/>
        <v>#DIV/0!</v>
      </c>
      <c r="I45" s="160"/>
      <c r="S45" s="25">
        <f t="shared" si="30"/>
        <v>3527328.538478015</v>
      </c>
      <c r="T45" s="80">
        <f t="shared" si="5"/>
        <v>599645.85154126247</v>
      </c>
      <c r="U45" s="80">
        <f t="shared" si="31"/>
        <v>2927682.6869367524</v>
      </c>
      <c r="V45" s="80">
        <f>SUM($U$2:U45)</f>
        <v>20020451.43362353</v>
      </c>
      <c r="W45" s="80">
        <f t="shared" si="32"/>
        <v>24147425.823642805</v>
      </c>
    </row>
    <row r="46" spans="2:23">
      <c r="B46" s="25" t="str">
        <f t="shared" si="2"/>
        <v/>
      </c>
      <c r="C46" s="152" t="str">
        <f t="shared" si="15"/>
        <v/>
      </c>
      <c r="D46" s="27" t="e">
        <f t="shared" si="25"/>
        <v>#VALUE!</v>
      </c>
      <c r="E46" s="159" t="e">
        <f t="shared" si="8"/>
        <v>#VALUE!</v>
      </c>
      <c r="F46" s="152" t="e">
        <f t="shared" si="4"/>
        <v>#DIV/0!</v>
      </c>
      <c r="G46" s="155" t="e">
        <f t="shared" si="26"/>
        <v>#DIV/0!</v>
      </c>
      <c r="H46" s="159" t="e">
        <f t="shared" si="9"/>
        <v>#DIV/0!</v>
      </c>
      <c r="I46" s="160"/>
      <c r="S46" s="25">
        <f t="shared" si="30"/>
        <v>4127574.3900192776</v>
      </c>
      <c r="T46" s="80">
        <f t="shared" si="5"/>
        <v>701687.64630327723</v>
      </c>
      <c r="U46" s="80">
        <f t="shared" si="31"/>
        <v>3425886.7437160006</v>
      </c>
      <c r="V46" s="80">
        <f>SUM($U$2:U46)</f>
        <v>23446338.177339531</v>
      </c>
      <c r="W46" s="80">
        <f t="shared" si="32"/>
        <v>28275600.213662088</v>
      </c>
    </row>
    <row r="47" spans="2:23">
      <c r="B47" s="25" t="str">
        <f t="shared" si="2"/>
        <v/>
      </c>
      <c r="C47" s="152" t="str">
        <f t="shared" si="15"/>
        <v/>
      </c>
      <c r="D47" s="27" t="e">
        <f t="shared" si="25"/>
        <v>#VALUE!</v>
      </c>
      <c r="E47" s="159" t="e">
        <f t="shared" si="8"/>
        <v>#VALUE!</v>
      </c>
      <c r="F47" s="152" t="e">
        <f t="shared" si="4"/>
        <v>#DIV/0!</v>
      </c>
      <c r="G47" s="155" t="e">
        <f t="shared" si="26"/>
        <v>#DIV/0!</v>
      </c>
      <c r="H47" s="159" t="e">
        <f t="shared" si="9"/>
        <v>#DIV/0!</v>
      </c>
      <c r="I47" s="160"/>
      <c r="S47" s="25">
        <f t="shared" si="30"/>
        <v>4829862.0363225546</v>
      </c>
      <c r="T47" s="80">
        <f t="shared" si="5"/>
        <v>821076.54617483437</v>
      </c>
      <c r="U47" s="80">
        <f t="shared" si="31"/>
        <v>4008785.4901477201</v>
      </c>
      <c r="V47" s="80">
        <f>SUM($U$2:U47)</f>
        <v>27455123.667487253</v>
      </c>
      <c r="W47" s="80">
        <f t="shared" si="32"/>
        <v>33106062.249984644</v>
      </c>
    </row>
    <row r="48" spans="2:23">
      <c r="B48" s="25" t="str">
        <f t="shared" si="2"/>
        <v/>
      </c>
      <c r="C48" s="152" t="str">
        <f t="shared" si="15"/>
        <v/>
      </c>
      <c r="D48" s="27" t="e">
        <f t="shared" si="25"/>
        <v>#VALUE!</v>
      </c>
      <c r="E48" s="159" t="e">
        <f t="shared" si="8"/>
        <v>#VALUE!</v>
      </c>
      <c r="F48" s="152" t="e">
        <f t="shared" si="4"/>
        <v>#DIV/0!</v>
      </c>
      <c r="G48" s="155" t="e">
        <f t="shared" si="26"/>
        <v>#DIV/0!</v>
      </c>
      <c r="H48" s="159" t="e">
        <f t="shared" si="9"/>
        <v>#DIV/0!</v>
      </c>
      <c r="I48" s="160"/>
    </row>
    <row r="49" spans="2:9">
      <c r="B49" s="25" t="str">
        <f t="shared" si="2"/>
        <v/>
      </c>
      <c r="C49" s="152" t="str">
        <f t="shared" si="15"/>
        <v/>
      </c>
      <c r="D49" s="27" t="e">
        <f t="shared" si="25"/>
        <v>#VALUE!</v>
      </c>
      <c r="E49" s="159" t="e">
        <f t="shared" si="8"/>
        <v>#VALUE!</v>
      </c>
      <c r="F49" s="152" t="e">
        <f t="shared" si="4"/>
        <v>#DIV/0!</v>
      </c>
      <c r="G49" s="155" t="e">
        <f t="shared" si="26"/>
        <v>#DIV/0!</v>
      </c>
      <c r="H49" s="159" t="e">
        <f t="shared" si="9"/>
        <v>#DIV/0!</v>
      </c>
      <c r="I49" s="160"/>
    </row>
    <row r="50" spans="2:9">
      <c r="B50" s="25" t="str">
        <f t="shared" si="2"/>
        <v/>
      </c>
      <c r="C50" s="152" t="str">
        <f t="shared" si="15"/>
        <v/>
      </c>
      <c r="D50" s="27" t="e">
        <f t="shared" ref="D50:D61" si="33">C50/B50</f>
        <v>#VALUE!</v>
      </c>
      <c r="E50" s="159" t="e">
        <f t="shared" si="8"/>
        <v>#VALUE!</v>
      </c>
      <c r="F50" s="152" t="e">
        <f t="shared" si="4"/>
        <v>#DIV/0!</v>
      </c>
      <c r="G50" s="155" t="e">
        <f t="shared" si="26"/>
        <v>#DIV/0!</v>
      </c>
      <c r="H50" s="159" t="e">
        <f t="shared" si="9"/>
        <v>#DIV/0!</v>
      </c>
      <c r="I50" s="160"/>
    </row>
    <row r="51" spans="2:9">
      <c r="B51" s="25" t="str">
        <f t="shared" si="2"/>
        <v/>
      </c>
      <c r="C51" s="152" t="str">
        <f t="shared" ref="C51:C80" si="34">IF(B51="","",STDEV(A51:A59))</f>
        <v/>
      </c>
      <c r="D51" s="27" t="e">
        <f t="shared" si="33"/>
        <v>#VALUE!</v>
      </c>
      <c r="E51" s="159" t="e">
        <f t="shared" si="8"/>
        <v>#VALUE!</v>
      </c>
      <c r="F51" s="152" t="e">
        <f t="shared" si="4"/>
        <v>#DIV/0!</v>
      </c>
      <c r="G51" s="155" t="e">
        <f t="shared" si="26"/>
        <v>#DIV/0!</v>
      </c>
      <c r="H51" s="159" t="e">
        <f t="shared" si="9"/>
        <v>#DIV/0!</v>
      </c>
      <c r="I51" s="160"/>
    </row>
    <row r="52" spans="2:9">
      <c r="B52" s="25" t="str">
        <f t="shared" si="2"/>
        <v/>
      </c>
      <c r="C52" s="152" t="str">
        <f t="shared" si="34"/>
        <v/>
      </c>
      <c r="D52" s="27" t="e">
        <f t="shared" si="33"/>
        <v>#VALUE!</v>
      </c>
      <c r="E52" s="159" t="e">
        <f t="shared" si="8"/>
        <v>#VALUE!</v>
      </c>
      <c r="F52" s="152" t="e">
        <f t="shared" si="4"/>
        <v>#DIV/0!</v>
      </c>
      <c r="G52" s="155" t="e">
        <f t="shared" si="26"/>
        <v>#DIV/0!</v>
      </c>
      <c r="H52" s="159" t="e">
        <f t="shared" si="9"/>
        <v>#DIV/0!</v>
      </c>
      <c r="I52" s="160"/>
    </row>
    <row r="53" spans="2:9">
      <c r="B53" s="25" t="str">
        <f t="shared" si="2"/>
        <v/>
      </c>
      <c r="C53" s="152" t="str">
        <f t="shared" si="34"/>
        <v/>
      </c>
      <c r="D53" s="27" t="e">
        <f t="shared" si="33"/>
        <v>#VALUE!</v>
      </c>
      <c r="E53" s="159" t="e">
        <f t="shared" si="8"/>
        <v>#VALUE!</v>
      </c>
      <c r="F53" s="152" t="e">
        <f t="shared" si="4"/>
        <v>#DIV/0!</v>
      </c>
      <c r="G53" s="155" t="e">
        <f t="shared" si="26"/>
        <v>#DIV/0!</v>
      </c>
      <c r="H53" s="159" t="e">
        <f t="shared" si="9"/>
        <v>#DIV/0!</v>
      </c>
      <c r="I53" s="160"/>
    </row>
    <row r="54" spans="2:9">
      <c r="B54" s="25" t="str">
        <f t="shared" si="2"/>
        <v/>
      </c>
      <c r="C54" s="152" t="str">
        <f t="shared" si="34"/>
        <v/>
      </c>
      <c r="D54" s="27" t="e">
        <f t="shared" si="33"/>
        <v>#VALUE!</v>
      </c>
      <c r="E54" s="159" t="e">
        <f t="shared" si="8"/>
        <v>#VALUE!</v>
      </c>
      <c r="F54" s="152" t="e">
        <f t="shared" si="4"/>
        <v>#DIV/0!</v>
      </c>
      <c r="G54" s="155" t="e">
        <f t="shared" si="26"/>
        <v>#DIV/0!</v>
      </c>
      <c r="H54" s="159" t="e">
        <f t="shared" si="9"/>
        <v>#DIV/0!</v>
      </c>
      <c r="I54" s="160"/>
    </row>
    <row r="55" spans="2:9">
      <c r="B55" s="25" t="str">
        <f t="shared" si="2"/>
        <v/>
      </c>
      <c r="C55" s="152" t="str">
        <f t="shared" si="34"/>
        <v/>
      </c>
      <c r="D55" s="27" t="e">
        <f t="shared" si="33"/>
        <v>#VALUE!</v>
      </c>
      <c r="E55" s="159" t="e">
        <f t="shared" si="8"/>
        <v>#VALUE!</v>
      </c>
      <c r="F55" s="152" t="e">
        <f t="shared" si="4"/>
        <v>#DIV/0!</v>
      </c>
      <c r="G55" s="155" t="e">
        <f t="shared" si="26"/>
        <v>#DIV/0!</v>
      </c>
      <c r="H55" s="159" t="e">
        <f t="shared" si="9"/>
        <v>#DIV/0!</v>
      </c>
      <c r="I55" s="160"/>
    </row>
    <row r="56" spans="2:9">
      <c r="B56" s="25" t="str">
        <f t="shared" si="2"/>
        <v/>
      </c>
      <c r="C56" s="152" t="str">
        <f t="shared" si="34"/>
        <v/>
      </c>
      <c r="D56" s="27" t="e">
        <f t="shared" si="33"/>
        <v>#VALUE!</v>
      </c>
      <c r="E56" s="159" t="e">
        <f t="shared" si="8"/>
        <v>#VALUE!</v>
      </c>
      <c r="F56" s="152" t="e">
        <f t="shared" si="4"/>
        <v>#DIV/0!</v>
      </c>
      <c r="G56" s="155" t="e">
        <f t="shared" si="26"/>
        <v>#DIV/0!</v>
      </c>
      <c r="H56" s="159" t="e">
        <f t="shared" si="9"/>
        <v>#DIV/0!</v>
      </c>
      <c r="I56" s="160"/>
    </row>
    <row r="57" spans="2:9">
      <c r="B57" s="25" t="str">
        <f t="shared" si="2"/>
        <v/>
      </c>
      <c r="C57" s="152" t="str">
        <f t="shared" si="34"/>
        <v/>
      </c>
      <c r="D57" s="27" t="e">
        <f t="shared" si="33"/>
        <v>#VALUE!</v>
      </c>
      <c r="E57" s="159" t="e">
        <f t="shared" si="8"/>
        <v>#VALUE!</v>
      </c>
      <c r="F57" s="152" t="e">
        <f t="shared" si="4"/>
        <v>#DIV/0!</v>
      </c>
      <c r="G57" s="155" t="e">
        <f t="shared" si="26"/>
        <v>#DIV/0!</v>
      </c>
      <c r="H57" s="159" t="e">
        <f t="shared" si="9"/>
        <v>#DIV/0!</v>
      </c>
      <c r="I57" s="160"/>
    </row>
    <row r="58" spans="2:9">
      <c r="B58" s="25" t="str">
        <f t="shared" si="2"/>
        <v/>
      </c>
      <c r="C58" s="152" t="str">
        <f t="shared" si="34"/>
        <v/>
      </c>
      <c r="D58" s="27" t="e">
        <f t="shared" si="33"/>
        <v>#VALUE!</v>
      </c>
      <c r="E58" s="159" t="e">
        <f t="shared" si="8"/>
        <v>#VALUE!</v>
      </c>
      <c r="F58" s="152" t="e">
        <f t="shared" si="4"/>
        <v>#DIV/0!</v>
      </c>
      <c r="G58" s="155" t="e">
        <f t="shared" si="26"/>
        <v>#DIV/0!</v>
      </c>
      <c r="H58" s="159" t="e">
        <f t="shared" si="9"/>
        <v>#DIV/0!</v>
      </c>
      <c r="I58" s="160"/>
    </row>
    <row r="59" spans="2:9">
      <c r="B59" s="25" t="str">
        <f t="shared" si="2"/>
        <v/>
      </c>
      <c r="C59" s="152" t="str">
        <f t="shared" si="34"/>
        <v/>
      </c>
      <c r="D59" s="27" t="e">
        <f t="shared" si="33"/>
        <v>#VALUE!</v>
      </c>
      <c r="E59" s="159" t="e">
        <f t="shared" si="8"/>
        <v>#VALUE!</v>
      </c>
      <c r="F59" s="152" t="e">
        <f t="shared" si="4"/>
        <v>#DIV/0!</v>
      </c>
      <c r="G59" s="155" t="e">
        <f t="shared" si="26"/>
        <v>#DIV/0!</v>
      </c>
      <c r="H59" s="159" t="e">
        <f t="shared" si="9"/>
        <v>#DIV/0!</v>
      </c>
      <c r="I59" s="160"/>
    </row>
    <row r="60" spans="2:9">
      <c r="B60" s="25" t="str">
        <f t="shared" si="2"/>
        <v/>
      </c>
      <c r="C60" s="152" t="str">
        <f t="shared" si="34"/>
        <v/>
      </c>
      <c r="D60" s="27" t="e">
        <f t="shared" si="33"/>
        <v>#VALUE!</v>
      </c>
      <c r="E60" s="159" t="e">
        <f t="shared" si="8"/>
        <v>#VALUE!</v>
      </c>
      <c r="F60" s="152" t="e">
        <f t="shared" si="4"/>
        <v>#DIV/0!</v>
      </c>
      <c r="G60" s="155" t="e">
        <f t="shared" si="26"/>
        <v>#DIV/0!</v>
      </c>
      <c r="H60" s="159" t="e">
        <f t="shared" si="9"/>
        <v>#DIV/0!</v>
      </c>
      <c r="I60" s="160"/>
    </row>
    <row r="61" spans="2:9">
      <c r="B61" s="25" t="str">
        <f t="shared" si="2"/>
        <v/>
      </c>
      <c r="C61" s="152" t="str">
        <f t="shared" si="34"/>
        <v/>
      </c>
      <c r="D61" s="27" t="e">
        <f t="shared" si="33"/>
        <v>#VALUE!</v>
      </c>
      <c r="E61" s="159" t="e">
        <f t="shared" si="8"/>
        <v>#VALUE!</v>
      </c>
      <c r="F61" s="152" t="e">
        <f t="shared" si="4"/>
        <v>#DIV/0!</v>
      </c>
      <c r="G61" s="155" t="e">
        <f t="shared" si="26"/>
        <v>#DIV/0!</v>
      </c>
      <c r="H61" s="159" t="e">
        <f t="shared" si="9"/>
        <v>#DIV/0!</v>
      </c>
      <c r="I61" s="160"/>
    </row>
    <row r="62" spans="2:9">
      <c r="B62" s="25" t="str">
        <f t="shared" si="2"/>
        <v/>
      </c>
      <c r="C62" s="152" t="str">
        <f t="shared" si="34"/>
        <v/>
      </c>
      <c r="D62" s="27" t="e">
        <f t="shared" ref="D62:D67" si="35">C62/B62</f>
        <v>#VALUE!</v>
      </c>
      <c r="E62" s="159" t="e">
        <f t="shared" si="8"/>
        <v>#VALUE!</v>
      </c>
      <c r="F62" s="152" t="e">
        <f t="shared" si="4"/>
        <v>#DIV/0!</v>
      </c>
      <c r="G62" s="155" t="e">
        <f t="shared" si="26"/>
        <v>#DIV/0!</v>
      </c>
      <c r="H62" s="159" t="e">
        <f t="shared" si="9"/>
        <v>#DIV/0!</v>
      </c>
      <c r="I62" s="160"/>
    </row>
    <row r="63" spans="2:9">
      <c r="B63" s="25" t="str">
        <f t="shared" si="2"/>
        <v/>
      </c>
      <c r="C63" s="152" t="str">
        <f t="shared" si="34"/>
        <v/>
      </c>
      <c r="D63" s="27" t="e">
        <f t="shared" si="35"/>
        <v>#VALUE!</v>
      </c>
      <c r="E63" s="159" t="e">
        <f t="shared" si="8"/>
        <v>#VALUE!</v>
      </c>
      <c r="F63" s="152" t="e">
        <f t="shared" si="4"/>
        <v>#DIV/0!</v>
      </c>
      <c r="G63" s="155" t="e">
        <f t="shared" si="26"/>
        <v>#DIV/0!</v>
      </c>
      <c r="H63" s="159" t="e">
        <f t="shared" si="9"/>
        <v>#DIV/0!</v>
      </c>
      <c r="I63" s="160"/>
    </row>
    <row r="64" spans="2:9">
      <c r="B64" s="25" t="str">
        <f t="shared" si="2"/>
        <v/>
      </c>
      <c r="C64" s="152" t="str">
        <f t="shared" si="34"/>
        <v/>
      </c>
      <c r="D64" s="27" t="e">
        <f t="shared" si="35"/>
        <v>#VALUE!</v>
      </c>
      <c r="E64" s="159" t="e">
        <f t="shared" si="8"/>
        <v>#VALUE!</v>
      </c>
      <c r="F64" s="152" t="e">
        <f t="shared" si="4"/>
        <v>#DIV/0!</v>
      </c>
      <c r="G64" s="155" t="e">
        <f t="shared" si="26"/>
        <v>#DIV/0!</v>
      </c>
      <c r="H64" s="159" t="e">
        <f t="shared" si="9"/>
        <v>#DIV/0!</v>
      </c>
      <c r="I64" s="160"/>
    </row>
    <row r="65" spans="2:9">
      <c r="B65" s="25" t="str">
        <f t="shared" si="2"/>
        <v/>
      </c>
      <c r="C65" s="152" t="str">
        <f t="shared" si="34"/>
        <v/>
      </c>
      <c r="D65" s="27" t="e">
        <f t="shared" si="35"/>
        <v>#VALUE!</v>
      </c>
      <c r="E65" s="159" t="e">
        <f t="shared" si="8"/>
        <v>#VALUE!</v>
      </c>
      <c r="F65" s="152" t="e">
        <f t="shared" si="4"/>
        <v>#DIV/0!</v>
      </c>
      <c r="G65" s="155" t="e">
        <f t="shared" si="26"/>
        <v>#DIV/0!</v>
      </c>
      <c r="H65" s="159" t="e">
        <f t="shared" si="9"/>
        <v>#DIV/0!</v>
      </c>
      <c r="I65" s="160"/>
    </row>
    <row r="66" spans="2:9">
      <c r="B66" s="25" t="str">
        <f t="shared" si="2"/>
        <v/>
      </c>
      <c r="C66" s="152" t="str">
        <f t="shared" si="34"/>
        <v/>
      </c>
      <c r="D66" s="27" t="e">
        <f t="shared" si="35"/>
        <v>#VALUE!</v>
      </c>
      <c r="E66" s="159" t="e">
        <f t="shared" si="8"/>
        <v>#VALUE!</v>
      </c>
      <c r="F66" s="152" t="e">
        <f t="shared" si="4"/>
        <v>#DIV/0!</v>
      </c>
      <c r="G66" s="155" t="e">
        <f t="shared" ref="G66:G80" si="36">F66/B66</f>
        <v>#DIV/0!</v>
      </c>
      <c r="H66" s="159" t="e">
        <f t="shared" si="9"/>
        <v>#DIV/0!</v>
      </c>
      <c r="I66" s="160"/>
    </row>
    <row r="67" spans="2:9">
      <c r="B67" s="25" t="str">
        <f t="shared" ref="B67:B80" si="37">IF(COUNTBLANK(A67:A75)&gt;0,"",AVERAGE(A67:A75))</f>
        <v/>
      </c>
      <c r="C67" s="152" t="str">
        <f t="shared" si="34"/>
        <v/>
      </c>
      <c r="D67" s="27" t="e">
        <f t="shared" si="35"/>
        <v>#VALUE!</v>
      </c>
      <c r="E67" s="159" t="e">
        <f t="shared" si="8"/>
        <v>#VALUE!</v>
      </c>
      <c r="F67" s="152" t="e">
        <f t="shared" ref="F67:F80" si="38">VAR(A67:A75)</f>
        <v>#DIV/0!</v>
      </c>
      <c r="G67" s="155" t="e">
        <f t="shared" si="36"/>
        <v>#DIV/0!</v>
      </c>
      <c r="H67" s="159" t="e">
        <f t="shared" si="9"/>
        <v>#DIV/0!</v>
      </c>
      <c r="I67" s="160"/>
    </row>
    <row r="68" spans="2:9">
      <c r="B68" s="25" t="str">
        <f t="shared" si="37"/>
        <v/>
      </c>
      <c r="C68" s="152" t="str">
        <f t="shared" si="34"/>
        <v/>
      </c>
      <c r="D68" s="27" t="e">
        <f t="shared" ref="D68:D80" si="39">C68/B68</f>
        <v>#VALUE!</v>
      </c>
      <c r="E68" s="159" t="e">
        <f t="shared" ref="E68:E80" si="40">D68/D67</f>
        <v>#VALUE!</v>
      </c>
      <c r="F68" s="152" t="e">
        <f t="shared" si="38"/>
        <v>#DIV/0!</v>
      </c>
      <c r="G68" s="155" t="e">
        <f t="shared" si="36"/>
        <v>#DIV/0!</v>
      </c>
      <c r="H68" s="159" t="e">
        <f t="shared" si="9"/>
        <v>#DIV/0!</v>
      </c>
      <c r="I68" s="160"/>
    </row>
    <row r="69" spans="2:9">
      <c r="B69" s="25" t="str">
        <f t="shared" si="37"/>
        <v/>
      </c>
      <c r="C69" s="152" t="str">
        <f t="shared" si="34"/>
        <v/>
      </c>
      <c r="D69" s="27" t="e">
        <f t="shared" si="39"/>
        <v>#VALUE!</v>
      </c>
      <c r="E69" s="159" t="e">
        <f t="shared" si="40"/>
        <v>#VALUE!</v>
      </c>
      <c r="F69" s="152" t="e">
        <f t="shared" si="38"/>
        <v>#DIV/0!</v>
      </c>
      <c r="G69" s="155" t="e">
        <f t="shared" si="36"/>
        <v>#DIV/0!</v>
      </c>
      <c r="H69" s="159" t="e">
        <f t="shared" ref="H69:H80" si="41">ROUND(G69/G68,2)</f>
        <v>#DIV/0!</v>
      </c>
      <c r="I69" s="160"/>
    </row>
    <row r="70" spans="2:9">
      <c r="B70" s="25" t="str">
        <f t="shared" si="37"/>
        <v/>
      </c>
      <c r="C70" s="152" t="str">
        <f t="shared" si="34"/>
        <v/>
      </c>
      <c r="D70" s="27" t="e">
        <f t="shared" si="39"/>
        <v>#VALUE!</v>
      </c>
      <c r="E70" s="159" t="e">
        <f t="shared" si="40"/>
        <v>#VALUE!</v>
      </c>
      <c r="F70" s="152" t="e">
        <f t="shared" si="38"/>
        <v>#DIV/0!</v>
      </c>
      <c r="G70" s="155" t="e">
        <f t="shared" si="36"/>
        <v>#DIV/0!</v>
      </c>
      <c r="H70" s="159" t="e">
        <f t="shared" si="41"/>
        <v>#DIV/0!</v>
      </c>
      <c r="I70" s="160"/>
    </row>
    <row r="71" spans="2:9">
      <c r="B71" s="25" t="str">
        <f t="shared" si="37"/>
        <v/>
      </c>
      <c r="C71" s="152" t="str">
        <f t="shared" si="34"/>
        <v/>
      </c>
      <c r="D71" s="27" t="e">
        <f t="shared" si="39"/>
        <v>#VALUE!</v>
      </c>
      <c r="E71" s="159" t="e">
        <f t="shared" si="40"/>
        <v>#VALUE!</v>
      </c>
      <c r="F71" s="152" t="e">
        <f t="shared" si="38"/>
        <v>#DIV/0!</v>
      </c>
      <c r="G71" s="155" t="e">
        <f t="shared" si="36"/>
        <v>#DIV/0!</v>
      </c>
      <c r="H71" s="159" t="e">
        <f t="shared" si="41"/>
        <v>#DIV/0!</v>
      </c>
      <c r="I71" s="160"/>
    </row>
    <row r="72" spans="2:9">
      <c r="B72" s="25" t="str">
        <f t="shared" si="37"/>
        <v/>
      </c>
      <c r="C72" s="152" t="str">
        <f t="shared" si="34"/>
        <v/>
      </c>
      <c r="D72" s="27" t="e">
        <f t="shared" si="39"/>
        <v>#VALUE!</v>
      </c>
      <c r="E72" s="159" t="e">
        <f t="shared" si="40"/>
        <v>#VALUE!</v>
      </c>
      <c r="F72" s="152" t="e">
        <f t="shared" si="38"/>
        <v>#DIV/0!</v>
      </c>
      <c r="G72" s="155" t="e">
        <f t="shared" si="36"/>
        <v>#DIV/0!</v>
      </c>
      <c r="H72" s="159" t="e">
        <f t="shared" si="41"/>
        <v>#DIV/0!</v>
      </c>
      <c r="I72" s="160"/>
    </row>
    <row r="73" spans="2:9">
      <c r="B73" s="25" t="str">
        <f t="shared" si="37"/>
        <v/>
      </c>
      <c r="C73" s="152" t="str">
        <f t="shared" si="34"/>
        <v/>
      </c>
      <c r="D73" s="27" t="e">
        <f t="shared" si="39"/>
        <v>#VALUE!</v>
      </c>
      <c r="E73" s="159" t="e">
        <f t="shared" si="40"/>
        <v>#VALUE!</v>
      </c>
      <c r="F73" s="152" t="e">
        <f t="shared" si="38"/>
        <v>#DIV/0!</v>
      </c>
      <c r="G73" s="155" t="e">
        <f t="shared" si="36"/>
        <v>#DIV/0!</v>
      </c>
      <c r="H73" s="159" t="e">
        <f t="shared" si="41"/>
        <v>#DIV/0!</v>
      </c>
      <c r="I73" s="160"/>
    </row>
    <row r="74" spans="2:9">
      <c r="B74" s="25" t="str">
        <f t="shared" si="37"/>
        <v/>
      </c>
      <c r="C74" s="152" t="str">
        <f t="shared" si="34"/>
        <v/>
      </c>
      <c r="D74" s="27" t="e">
        <f t="shared" si="39"/>
        <v>#VALUE!</v>
      </c>
      <c r="E74" s="159" t="e">
        <f t="shared" si="40"/>
        <v>#VALUE!</v>
      </c>
      <c r="F74" s="152" t="e">
        <f t="shared" si="38"/>
        <v>#DIV/0!</v>
      </c>
      <c r="G74" s="155" t="e">
        <f t="shared" si="36"/>
        <v>#DIV/0!</v>
      </c>
      <c r="H74" s="159" t="e">
        <f t="shared" si="41"/>
        <v>#DIV/0!</v>
      </c>
      <c r="I74" s="160"/>
    </row>
    <row r="75" spans="2:9">
      <c r="B75" s="25" t="str">
        <f t="shared" si="37"/>
        <v/>
      </c>
      <c r="C75" s="152" t="str">
        <f t="shared" si="34"/>
        <v/>
      </c>
      <c r="D75" s="27" t="e">
        <f t="shared" si="39"/>
        <v>#VALUE!</v>
      </c>
      <c r="E75" s="159" t="e">
        <f t="shared" si="40"/>
        <v>#VALUE!</v>
      </c>
      <c r="F75" s="152" t="e">
        <f t="shared" si="38"/>
        <v>#DIV/0!</v>
      </c>
      <c r="G75" s="155" t="e">
        <f t="shared" si="36"/>
        <v>#DIV/0!</v>
      </c>
      <c r="H75" s="159" t="e">
        <f t="shared" si="41"/>
        <v>#DIV/0!</v>
      </c>
      <c r="I75" s="160"/>
    </row>
    <row r="76" spans="2:9">
      <c r="B76" s="25" t="str">
        <f t="shared" si="37"/>
        <v/>
      </c>
      <c r="C76" s="152" t="str">
        <f t="shared" si="34"/>
        <v/>
      </c>
      <c r="D76" s="27" t="e">
        <f t="shared" si="39"/>
        <v>#VALUE!</v>
      </c>
      <c r="E76" s="159" t="e">
        <f t="shared" si="40"/>
        <v>#VALUE!</v>
      </c>
      <c r="F76" s="152" t="e">
        <f t="shared" si="38"/>
        <v>#DIV/0!</v>
      </c>
      <c r="G76" s="155" t="e">
        <f t="shared" si="36"/>
        <v>#DIV/0!</v>
      </c>
      <c r="H76" s="159" t="e">
        <f t="shared" si="41"/>
        <v>#DIV/0!</v>
      </c>
      <c r="I76" s="160"/>
    </row>
    <row r="77" spans="2:9">
      <c r="B77" s="25" t="str">
        <f t="shared" si="37"/>
        <v/>
      </c>
      <c r="C77" s="152" t="str">
        <f t="shared" si="34"/>
        <v/>
      </c>
      <c r="D77" s="27" t="e">
        <f t="shared" si="39"/>
        <v>#VALUE!</v>
      </c>
      <c r="E77" s="159" t="e">
        <f t="shared" si="40"/>
        <v>#VALUE!</v>
      </c>
      <c r="F77" s="152" t="e">
        <f t="shared" si="38"/>
        <v>#DIV/0!</v>
      </c>
      <c r="G77" s="155" t="e">
        <f t="shared" si="36"/>
        <v>#DIV/0!</v>
      </c>
      <c r="H77" s="159" t="e">
        <f t="shared" si="41"/>
        <v>#DIV/0!</v>
      </c>
      <c r="I77" s="160"/>
    </row>
    <row r="78" spans="2:9">
      <c r="B78" s="25" t="str">
        <f t="shared" si="37"/>
        <v/>
      </c>
      <c r="C78" s="152" t="str">
        <f t="shared" si="34"/>
        <v/>
      </c>
      <c r="D78" s="27" t="e">
        <f t="shared" si="39"/>
        <v>#VALUE!</v>
      </c>
      <c r="E78" s="159" t="e">
        <f t="shared" si="40"/>
        <v>#VALUE!</v>
      </c>
      <c r="F78" s="152" t="e">
        <f t="shared" si="38"/>
        <v>#DIV/0!</v>
      </c>
      <c r="G78" s="155" t="e">
        <f t="shared" si="36"/>
        <v>#DIV/0!</v>
      </c>
      <c r="H78" s="159" t="e">
        <f t="shared" si="41"/>
        <v>#DIV/0!</v>
      </c>
      <c r="I78" s="160"/>
    </row>
    <row r="79" spans="2:9">
      <c r="B79" s="25" t="str">
        <f t="shared" si="37"/>
        <v/>
      </c>
      <c r="C79" s="152" t="str">
        <f t="shared" si="34"/>
        <v/>
      </c>
      <c r="D79" s="27" t="e">
        <f t="shared" si="39"/>
        <v>#VALUE!</v>
      </c>
      <c r="E79" s="159" t="e">
        <f t="shared" si="40"/>
        <v>#VALUE!</v>
      </c>
      <c r="F79" s="152" t="e">
        <f t="shared" si="38"/>
        <v>#DIV/0!</v>
      </c>
      <c r="G79" s="155" t="e">
        <f t="shared" si="36"/>
        <v>#DIV/0!</v>
      </c>
      <c r="H79" s="159" t="e">
        <f t="shared" si="41"/>
        <v>#DIV/0!</v>
      </c>
      <c r="I79" s="160"/>
    </row>
    <row r="80" spans="2:9">
      <c r="B80" s="25" t="str">
        <f t="shared" si="37"/>
        <v/>
      </c>
      <c r="C80" s="152" t="str">
        <f t="shared" si="34"/>
        <v/>
      </c>
      <c r="D80" s="27" t="e">
        <f t="shared" si="39"/>
        <v>#VALUE!</v>
      </c>
      <c r="E80" s="159" t="e">
        <f t="shared" si="40"/>
        <v>#VALUE!</v>
      </c>
      <c r="F80" s="152" t="e">
        <f t="shared" si="38"/>
        <v>#DIV/0!</v>
      </c>
      <c r="G80" s="155" t="e">
        <f t="shared" si="36"/>
        <v>#DIV/0!</v>
      </c>
      <c r="H80" s="159" t="e">
        <f t="shared" si="41"/>
        <v>#DIV/0!</v>
      </c>
      <c r="I80" s="160"/>
    </row>
  </sheetData>
  <conditionalFormatting sqref="H4:H80">
    <cfRule type="cellIs" dxfId="1" priority="1" operator="lessThanOrEqual">
      <formula>0.5</formula>
    </cfRule>
    <cfRule type="cellIs" dxfId="0" priority="2" operator="greaterThanOrEqual">
      <formula>2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21"/>
  <sheetViews>
    <sheetView workbookViewId="0">
      <selection activeCell="P6" sqref="P6"/>
    </sheetView>
  </sheetViews>
  <sheetFormatPr defaultRowHeight="12.75"/>
  <cols>
    <col min="2" max="2" width="11.140625" customWidth="1"/>
    <col min="9" max="9" width="11.28515625" customWidth="1"/>
    <col min="11" max="11" width="12.7109375" customWidth="1"/>
  </cols>
  <sheetData>
    <row r="1" spans="1:14">
      <c r="A1" s="178" t="s">
        <v>204</v>
      </c>
      <c r="B1" s="179" t="s">
        <v>215</v>
      </c>
      <c r="C1" s="178" t="s">
        <v>205</v>
      </c>
      <c r="D1" s="178" t="s">
        <v>206</v>
      </c>
      <c r="E1" s="178" t="s">
        <v>207</v>
      </c>
      <c r="F1" s="178" t="s">
        <v>208</v>
      </c>
      <c r="G1" s="178" t="s">
        <v>216</v>
      </c>
      <c r="H1" s="178" t="s">
        <v>217</v>
      </c>
      <c r="I1" s="179" t="s">
        <v>218</v>
      </c>
      <c r="J1" s="178" t="s">
        <v>286</v>
      </c>
      <c r="K1" s="178" t="s">
        <v>209</v>
      </c>
      <c r="L1" s="178" t="s">
        <v>210</v>
      </c>
      <c r="M1" s="178" t="s">
        <v>211</v>
      </c>
      <c r="N1" s="178" t="s">
        <v>212</v>
      </c>
    </row>
    <row r="2" spans="1:14">
      <c r="A2" s="168">
        <v>21054019</v>
      </c>
      <c r="B2" s="167" t="s">
        <v>223</v>
      </c>
      <c r="C2" s="168" t="s">
        <v>196</v>
      </c>
      <c r="D2" s="168">
        <v>2.23</v>
      </c>
      <c r="E2" s="168" t="s">
        <v>199</v>
      </c>
      <c r="F2" s="173">
        <v>168419</v>
      </c>
      <c r="G2" s="173">
        <v>168230</v>
      </c>
      <c r="H2" s="168">
        <v>0</v>
      </c>
      <c r="I2" s="167" t="s">
        <v>224</v>
      </c>
      <c r="J2" s="173">
        <v>168230</v>
      </c>
      <c r="K2" s="168" t="s">
        <v>198</v>
      </c>
      <c r="L2" s="168"/>
      <c r="M2" s="168"/>
      <c r="N2" s="168">
        <v>-421.47</v>
      </c>
    </row>
    <row r="3" spans="1:14">
      <c r="A3" s="168"/>
      <c r="B3" s="166"/>
      <c r="C3" s="166"/>
      <c r="D3" s="166"/>
      <c r="E3" s="166"/>
      <c r="F3" s="166"/>
      <c r="G3" s="166"/>
      <c r="H3" s="166"/>
      <c r="I3" s="166"/>
      <c r="J3" s="168">
        <v>8855</v>
      </c>
      <c r="K3" s="170">
        <v>0</v>
      </c>
      <c r="L3" s="170">
        <v>0</v>
      </c>
      <c r="M3" s="170">
        <v>0</v>
      </c>
      <c r="N3" s="177"/>
    </row>
    <row r="4" spans="1:14">
      <c r="A4" s="170">
        <v>21044604</v>
      </c>
      <c r="B4" s="169" t="s">
        <v>219</v>
      </c>
      <c r="C4" s="170" t="s">
        <v>193</v>
      </c>
      <c r="D4" s="170">
        <v>6.9</v>
      </c>
      <c r="E4" s="170" t="s">
        <v>194</v>
      </c>
      <c r="F4" s="170">
        <v>0.82133999999999996</v>
      </c>
      <c r="G4" s="170">
        <v>0.82420000000000004</v>
      </c>
      <c r="H4" s="170">
        <v>0</v>
      </c>
      <c r="I4" s="169" t="s">
        <v>220</v>
      </c>
      <c r="J4" s="170">
        <v>0.82420000000000004</v>
      </c>
      <c r="K4" s="172" t="s">
        <v>195</v>
      </c>
      <c r="L4" s="172"/>
      <c r="M4" s="172"/>
      <c r="N4" s="170">
        <v>-3319.75</v>
      </c>
    </row>
    <row r="5" spans="1:14">
      <c r="A5" s="172"/>
      <c r="B5" s="176"/>
      <c r="C5" s="176"/>
      <c r="D5" s="176"/>
      <c r="E5" s="176"/>
      <c r="F5" s="176"/>
      <c r="G5" s="176"/>
      <c r="H5" s="176"/>
      <c r="I5" s="176"/>
      <c r="J5" s="172">
        <v>8855</v>
      </c>
      <c r="K5" s="168">
        <v>0</v>
      </c>
      <c r="L5" s="168">
        <v>0</v>
      </c>
      <c r="M5" s="168">
        <v>0</v>
      </c>
      <c r="N5" s="177"/>
    </row>
    <row r="6" spans="1:14">
      <c r="A6" s="168">
        <v>21058005</v>
      </c>
      <c r="B6" s="167" t="s">
        <v>231</v>
      </c>
      <c r="C6" s="168" t="s">
        <v>196</v>
      </c>
      <c r="D6" s="168">
        <v>4.4000000000000004</v>
      </c>
      <c r="E6" s="168" t="s">
        <v>202</v>
      </c>
      <c r="F6" s="173">
        <v>110195</v>
      </c>
      <c r="G6" s="173">
        <v>109980</v>
      </c>
      <c r="H6" s="168">
        <v>0</v>
      </c>
      <c r="I6" s="167" t="s">
        <v>232</v>
      </c>
      <c r="J6" s="173">
        <v>109980</v>
      </c>
      <c r="K6" s="168" t="s">
        <v>198</v>
      </c>
      <c r="L6" s="168"/>
      <c r="M6" s="168"/>
      <c r="N6" s="168">
        <v>-860.16</v>
      </c>
    </row>
    <row r="7" spans="1:14">
      <c r="A7" s="168"/>
      <c r="B7" s="166"/>
      <c r="C7" s="166"/>
      <c r="D7" s="166"/>
      <c r="E7" s="166"/>
      <c r="F7" s="166"/>
      <c r="G7" s="166"/>
      <c r="H7" s="166"/>
      <c r="I7" s="166"/>
      <c r="J7" s="168">
        <v>8855</v>
      </c>
      <c r="K7" s="170">
        <v>0</v>
      </c>
      <c r="L7" s="170">
        <v>0</v>
      </c>
      <c r="M7" s="170">
        <v>0</v>
      </c>
      <c r="N7" s="177"/>
    </row>
    <row r="8" spans="1:14">
      <c r="A8" s="170">
        <v>21058723</v>
      </c>
      <c r="B8" s="169" t="s">
        <v>233</v>
      </c>
      <c r="C8" s="170" t="s">
        <v>193</v>
      </c>
      <c r="D8" s="170">
        <v>3.44</v>
      </c>
      <c r="E8" s="170" t="s">
        <v>199</v>
      </c>
      <c r="F8" s="171">
        <v>168031</v>
      </c>
      <c r="G8" s="171">
        <v>168160</v>
      </c>
      <c r="H8" s="170">
        <v>0</v>
      </c>
      <c r="I8" s="169" t="s">
        <v>234</v>
      </c>
      <c r="J8" s="171">
        <v>168160</v>
      </c>
      <c r="K8" s="172" t="s">
        <v>198</v>
      </c>
      <c r="L8" s="172"/>
      <c r="M8" s="172"/>
      <c r="N8" s="170">
        <v>-443.76</v>
      </c>
    </row>
    <row r="9" spans="1:14">
      <c r="A9" s="172"/>
      <c r="B9" s="176"/>
      <c r="C9" s="176"/>
      <c r="D9" s="176"/>
      <c r="E9" s="176"/>
      <c r="F9" s="176"/>
      <c r="G9" s="176"/>
      <c r="H9" s="176"/>
      <c r="I9" s="176"/>
      <c r="J9" s="172">
        <v>8855</v>
      </c>
      <c r="K9" s="168">
        <v>0</v>
      </c>
      <c r="L9" s="168">
        <v>0</v>
      </c>
      <c r="M9" s="168">
        <v>0</v>
      </c>
      <c r="N9" s="177"/>
    </row>
    <row r="10" spans="1:14">
      <c r="A10" s="168">
        <v>21057029</v>
      </c>
      <c r="B10" s="167" t="s">
        <v>225</v>
      </c>
      <c r="C10" s="168" t="s">
        <v>196</v>
      </c>
      <c r="D10" s="168">
        <v>4.33</v>
      </c>
      <c r="E10" s="168" t="s">
        <v>194</v>
      </c>
      <c r="F10" s="168">
        <v>0.82415000000000005</v>
      </c>
      <c r="G10" s="168">
        <v>0.82310000000000005</v>
      </c>
      <c r="H10" s="168">
        <v>0</v>
      </c>
      <c r="I10" s="167" t="s">
        <v>226</v>
      </c>
      <c r="J10" s="168">
        <v>0.82310000000000005</v>
      </c>
      <c r="K10" s="168" t="s">
        <v>198</v>
      </c>
      <c r="L10" s="168"/>
      <c r="M10" s="168"/>
      <c r="N10" s="168">
        <v>-764.3</v>
      </c>
    </row>
    <row r="11" spans="1:14">
      <c r="A11" s="168"/>
      <c r="B11" s="166"/>
      <c r="C11" s="166"/>
      <c r="D11" s="166"/>
      <c r="E11" s="166"/>
      <c r="F11" s="166"/>
      <c r="G11" s="166"/>
      <c r="H11" s="166"/>
      <c r="I11" s="166"/>
      <c r="J11" s="168">
        <v>8855</v>
      </c>
      <c r="K11" s="170">
        <v>0</v>
      </c>
      <c r="L11" s="170">
        <v>0</v>
      </c>
      <c r="M11" s="170">
        <v>0</v>
      </c>
      <c r="N11" s="177"/>
    </row>
    <row r="12" spans="1:14">
      <c r="A12" s="170">
        <v>21057068</v>
      </c>
      <c r="B12" s="169" t="s">
        <v>227</v>
      </c>
      <c r="C12" s="170" t="s">
        <v>193</v>
      </c>
      <c r="D12" s="170">
        <v>6.21</v>
      </c>
      <c r="E12" s="170" t="s">
        <v>200</v>
      </c>
      <c r="F12" s="170">
        <v>0.87761999999999996</v>
      </c>
      <c r="G12" s="170">
        <v>0.88070000000000004</v>
      </c>
      <c r="H12" s="170">
        <v>0</v>
      </c>
      <c r="I12" s="169" t="s">
        <v>228</v>
      </c>
      <c r="J12" s="170">
        <v>0.88070000000000004</v>
      </c>
      <c r="K12" s="172" t="s">
        <v>195</v>
      </c>
      <c r="L12" s="172"/>
      <c r="M12" s="172"/>
      <c r="N12" s="170">
        <v>-2171.77</v>
      </c>
    </row>
    <row r="13" spans="1:14">
      <c r="A13" s="172"/>
      <c r="B13" s="176"/>
      <c r="C13" s="176"/>
      <c r="D13" s="176"/>
      <c r="E13" s="176"/>
      <c r="F13" s="176"/>
      <c r="G13" s="176"/>
      <c r="H13" s="176"/>
      <c r="I13" s="176"/>
      <c r="J13" s="172">
        <v>8855</v>
      </c>
      <c r="K13" s="168">
        <v>0</v>
      </c>
      <c r="L13" s="168">
        <v>0</v>
      </c>
      <c r="M13" s="168">
        <v>0</v>
      </c>
      <c r="N13" s="177"/>
    </row>
    <row r="14" spans="1:14">
      <c r="A14" s="168">
        <v>21051646</v>
      </c>
      <c r="B14" s="167" t="s">
        <v>221</v>
      </c>
      <c r="C14" s="168" t="s">
        <v>196</v>
      </c>
      <c r="D14" s="168">
        <v>3.45</v>
      </c>
      <c r="E14" s="168" t="s">
        <v>197</v>
      </c>
      <c r="F14" s="173">
        <v>138456</v>
      </c>
      <c r="G14" s="173">
        <v>138370</v>
      </c>
      <c r="H14" s="168">
        <v>0</v>
      </c>
      <c r="I14" s="167" t="s">
        <v>222</v>
      </c>
      <c r="J14" s="173">
        <v>138370</v>
      </c>
      <c r="K14" s="168" t="s">
        <v>198</v>
      </c>
      <c r="L14" s="168"/>
      <c r="M14" s="168"/>
      <c r="N14" s="168">
        <v>-296.7</v>
      </c>
    </row>
    <row r="15" spans="1:14">
      <c r="A15" s="168"/>
      <c r="B15" s="166"/>
      <c r="C15" s="166"/>
      <c r="D15" s="166"/>
      <c r="E15" s="166"/>
      <c r="F15" s="166"/>
      <c r="G15" s="166"/>
      <c r="H15" s="166"/>
      <c r="I15" s="166"/>
      <c r="J15" s="168">
        <v>8855</v>
      </c>
      <c r="K15" s="170">
        <v>0</v>
      </c>
      <c r="L15" s="170">
        <v>0</v>
      </c>
      <c r="M15" s="170">
        <v>-19.670000000000002</v>
      </c>
      <c r="N15" s="177"/>
    </row>
    <row r="16" spans="1:14">
      <c r="A16" s="170">
        <v>21063027</v>
      </c>
      <c r="B16" s="169" t="s">
        <v>235</v>
      </c>
      <c r="C16" s="170" t="s">
        <v>193</v>
      </c>
      <c r="D16" s="170">
        <v>4.37</v>
      </c>
      <c r="E16" s="170" t="s">
        <v>199</v>
      </c>
      <c r="F16" s="171">
        <v>167945</v>
      </c>
      <c r="G16" s="171">
        <v>167990</v>
      </c>
      <c r="H16" s="170">
        <v>0</v>
      </c>
      <c r="I16" s="169" t="s">
        <v>236</v>
      </c>
      <c r="J16" s="171">
        <v>167990</v>
      </c>
      <c r="K16" s="172" t="s">
        <v>198</v>
      </c>
      <c r="L16" s="172"/>
      <c r="M16" s="172"/>
      <c r="N16" s="170">
        <v>-196.65</v>
      </c>
    </row>
    <row r="17" spans="1:14">
      <c r="A17" s="172"/>
      <c r="B17" s="176"/>
      <c r="C17" s="176"/>
      <c r="D17" s="176"/>
      <c r="E17" s="176"/>
      <c r="F17" s="176"/>
      <c r="G17" s="176"/>
      <c r="H17" s="176"/>
      <c r="I17" s="176"/>
      <c r="J17" s="172">
        <v>8855</v>
      </c>
      <c r="K17" s="168">
        <v>0</v>
      </c>
      <c r="L17" s="168">
        <v>0</v>
      </c>
      <c r="M17" s="168">
        <v>0</v>
      </c>
      <c r="N17" s="177"/>
    </row>
    <row r="18" spans="1:14">
      <c r="A18" s="168">
        <v>21067781</v>
      </c>
      <c r="B18" s="167" t="s">
        <v>239</v>
      </c>
      <c r="C18" s="168" t="s">
        <v>196</v>
      </c>
      <c r="D18" s="168">
        <v>6.16</v>
      </c>
      <c r="E18" s="168" t="s">
        <v>194</v>
      </c>
      <c r="F18" s="168">
        <v>0.82364999999999999</v>
      </c>
      <c r="G18" s="168">
        <v>0.82220000000000004</v>
      </c>
      <c r="H18" s="168">
        <v>0</v>
      </c>
      <c r="I18" s="167" t="s">
        <v>240</v>
      </c>
      <c r="J18" s="168">
        <v>0.82220000000000004</v>
      </c>
      <c r="K18" s="168" t="s">
        <v>198</v>
      </c>
      <c r="L18" s="168"/>
      <c r="M18" s="168"/>
      <c r="N18" s="168">
        <v>-1499.86</v>
      </c>
    </row>
    <row r="19" spans="1:14">
      <c r="A19" s="168"/>
      <c r="B19" s="166"/>
      <c r="C19" s="166"/>
      <c r="D19" s="166"/>
      <c r="E19" s="166"/>
      <c r="F19" s="166"/>
      <c r="G19" s="166"/>
      <c r="H19" s="166"/>
      <c r="I19" s="166"/>
      <c r="J19" s="168">
        <v>8855</v>
      </c>
      <c r="K19" s="170">
        <v>0</v>
      </c>
      <c r="L19" s="170">
        <v>0</v>
      </c>
      <c r="M19" s="170">
        <v>-49.25</v>
      </c>
      <c r="N19" s="177"/>
    </row>
    <row r="20" spans="1:14">
      <c r="A20" s="170">
        <v>21057422</v>
      </c>
      <c r="B20" s="169" t="s">
        <v>229</v>
      </c>
      <c r="C20" s="170" t="s">
        <v>193</v>
      </c>
      <c r="D20" s="170">
        <v>2.92</v>
      </c>
      <c r="E20" s="170" t="s">
        <v>201</v>
      </c>
      <c r="F20" s="170">
        <v>0.93432999999999999</v>
      </c>
      <c r="G20" s="170">
        <v>0.93430000000000002</v>
      </c>
      <c r="H20" s="170">
        <v>0</v>
      </c>
      <c r="I20" s="169" t="s">
        <v>230</v>
      </c>
      <c r="J20" s="170">
        <v>0.93430000000000002</v>
      </c>
      <c r="K20" s="172" t="s">
        <v>198</v>
      </c>
      <c r="L20" s="172"/>
      <c r="M20" s="172"/>
      <c r="N20" s="170">
        <v>8.76</v>
      </c>
    </row>
    <row r="21" spans="1:14">
      <c r="A21" s="172"/>
      <c r="B21" s="176"/>
      <c r="C21" s="176"/>
      <c r="D21" s="176"/>
      <c r="E21" s="176"/>
      <c r="F21" s="176"/>
      <c r="G21" s="176"/>
      <c r="H21" s="176"/>
      <c r="I21" s="176"/>
      <c r="J21" s="172">
        <v>8855</v>
      </c>
      <c r="K21" s="168">
        <v>0</v>
      </c>
      <c r="L21" s="168">
        <v>0</v>
      </c>
      <c r="M21" s="168">
        <v>-46.88</v>
      </c>
      <c r="N21" s="177"/>
    </row>
    <row r="22" spans="1:14">
      <c r="A22" s="168">
        <v>21063104</v>
      </c>
      <c r="B22" s="167" t="s">
        <v>237</v>
      </c>
      <c r="C22" s="168" t="s">
        <v>193</v>
      </c>
      <c r="D22" s="168">
        <v>2.78</v>
      </c>
      <c r="E22" s="168" t="s">
        <v>201</v>
      </c>
      <c r="F22" s="168">
        <v>0.93281999999999998</v>
      </c>
      <c r="G22" s="168">
        <v>0.93340000000000001</v>
      </c>
      <c r="H22" s="168">
        <v>0</v>
      </c>
      <c r="I22" s="167" t="s">
        <v>238</v>
      </c>
      <c r="J22" s="168">
        <v>0.93340000000000001</v>
      </c>
      <c r="K22" s="168" t="s">
        <v>195</v>
      </c>
      <c r="L22" s="168"/>
      <c r="M22" s="168"/>
      <c r="N22" s="168">
        <v>-161.24</v>
      </c>
    </row>
    <row r="23" spans="1:14">
      <c r="A23" s="168"/>
      <c r="B23" s="166"/>
      <c r="C23" s="166"/>
      <c r="D23" s="166"/>
      <c r="E23" s="166"/>
      <c r="F23" s="166"/>
      <c r="G23" s="166"/>
      <c r="H23" s="166"/>
      <c r="I23" s="166"/>
      <c r="J23" s="168">
        <v>8855</v>
      </c>
      <c r="K23" s="170">
        <v>0</v>
      </c>
      <c r="L23" s="170">
        <v>0</v>
      </c>
      <c r="M23" s="170">
        <v>-23.05</v>
      </c>
      <c r="N23" s="177"/>
    </row>
    <row r="24" spans="1:14">
      <c r="A24" s="170">
        <v>21069584</v>
      </c>
      <c r="B24" s="169" t="s">
        <v>241</v>
      </c>
      <c r="C24" s="170" t="s">
        <v>196</v>
      </c>
      <c r="D24" s="170">
        <v>3.81</v>
      </c>
      <c r="E24" s="170" t="s">
        <v>202</v>
      </c>
      <c r="F24" s="171">
        <v>110288</v>
      </c>
      <c r="G24" s="171">
        <v>110150</v>
      </c>
      <c r="H24" s="170">
        <v>0</v>
      </c>
      <c r="I24" s="169" t="s">
        <v>242</v>
      </c>
      <c r="J24" s="171">
        <v>110150</v>
      </c>
      <c r="K24" s="172" t="s">
        <v>198</v>
      </c>
      <c r="L24" s="172"/>
      <c r="M24" s="172"/>
      <c r="N24" s="170">
        <v>-477.33</v>
      </c>
    </row>
    <row r="25" spans="1:14">
      <c r="A25" s="172"/>
      <c r="B25" s="176"/>
      <c r="C25" s="176"/>
      <c r="D25" s="176"/>
      <c r="E25" s="176"/>
      <c r="F25" s="176"/>
      <c r="G25" s="176"/>
      <c r="H25" s="176"/>
      <c r="I25" s="176"/>
      <c r="J25" s="172">
        <v>8855</v>
      </c>
      <c r="K25" s="168">
        <v>0</v>
      </c>
      <c r="L25" s="168">
        <v>0</v>
      </c>
      <c r="M25" s="168">
        <v>0</v>
      </c>
      <c r="N25" s="177"/>
    </row>
    <row r="26" spans="1:14">
      <c r="A26" s="168">
        <v>21074265</v>
      </c>
      <c r="B26" s="167" t="s">
        <v>253</v>
      </c>
      <c r="C26" s="168" t="s">
        <v>196</v>
      </c>
      <c r="D26" s="168">
        <v>4.99</v>
      </c>
      <c r="E26" s="168" t="s">
        <v>197</v>
      </c>
      <c r="F26" s="173">
        <v>138295</v>
      </c>
      <c r="G26" s="173">
        <v>138160</v>
      </c>
      <c r="H26" s="168">
        <v>0</v>
      </c>
      <c r="I26" s="167" t="s">
        <v>254</v>
      </c>
      <c r="J26" s="173">
        <v>138160</v>
      </c>
      <c r="K26" s="168" t="s">
        <v>198</v>
      </c>
      <c r="L26" s="168"/>
      <c r="M26" s="168"/>
      <c r="N26" s="168">
        <v>-673.65</v>
      </c>
    </row>
    <row r="27" spans="1:14">
      <c r="A27" s="168"/>
      <c r="B27" s="166"/>
      <c r="C27" s="166"/>
      <c r="D27" s="166"/>
      <c r="E27" s="166"/>
      <c r="F27" s="166"/>
      <c r="G27" s="166"/>
      <c r="H27" s="166"/>
      <c r="I27" s="166"/>
      <c r="J27" s="168">
        <v>8855</v>
      </c>
      <c r="K27" s="170">
        <v>0</v>
      </c>
      <c r="L27" s="170">
        <v>0</v>
      </c>
      <c r="M27" s="170">
        <v>0</v>
      </c>
      <c r="N27" s="177"/>
    </row>
    <row r="28" spans="1:14">
      <c r="A28" s="170">
        <v>21073603</v>
      </c>
      <c r="B28" s="169" t="s">
        <v>251</v>
      </c>
      <c r="C28" s="170" t="s">
        <v>193</v>
      </c>
      <c r="D28" s="170">
        <v>11.29</v>
      </c>
      <c r="E28" s="170" t="s">
        <v>200</v>
      </c>
      <c r="F28" s="170">
        <v>0.88221000000000005</v>
      </c>
      <c r="G28" s="170">
        <v>0.88349999999999995</v>
      </c>
      <c r="H28" s="170">
        <v>0</v>
      </c>
      <c r="I28" s="169" t="s">
        <v>252</v>
      </c>
      <c r="J28" s="170">
        <v>0.88349999999999995</v>
      </c>
      <c r="K28" s="172" t="s">
        <v>195</v>
      </c>
      <c r="L28" s="172"/>
      <c r="M28" s="172"/>
      <c r="N28" s="170">
        <v>-1648.46</v>
      </c>
    </row>
    <row r="29" spans="1:14">
      <c r="A29" s="172"/>
      <c r="B29" s="176"/>
      <c r="C29" s="176"/>
      <c r="D29" s="176"/>
      <c r="E29" s="176"/>
      <c r="F29" s="176"/>
      <c r="G29" s="176"/>
      <c r="H29" s="176"/>
      <c r="I29" s="176"/>
      <c r="J29" s="172">
        <v>8855</v>
      </c>
      <c r="K29" s="168">
        <v>0</v>
      </c>
      <c r="L29" s="168">
        <v>0</v>
      </c>
      <c r="M29" s="168">
        <v>0</v>
      </c>
      <c r="N29" s="177"/>
    </row>
    <row r="30" spans="1:14">
      <c r="A30" s="168">
        <v>21075142</v>
      </c>
      <c r="B30" s="167" t="s">
        <v>255</v>
      </c>
      <c r="C30" s="168" t="s">
        <v>193</v>
      </c>
      <c r="D30" s="168">
        <v>4.83</v>
      </c>
      <c r="E30" s="168" t="s">
        <v>202</v>
      </c>
      <c r="F30" s="173">
        <v>110074</v>
      </c>
      <c r="G30" s="173">
        <v>110200</v>
      </c>
      <c r="H30" s="168">
        <v>0</v>
      </c>
      <c r="I30" s="167" t="s">
        <v>256</v>
      </c>
      <c r="J30" s="173">
        <v>110200</v>
      </c>
      <c r="K30" s="168" t="s">
        <v>198</v>
      </c>
      <c r="L30" s="168"/>
      <c r="M30" s="168"/>
      <c r="N30" s="168">
        <v>-552.25</v>
      </c>
    </row>
    <row r="31" spans="1:14">
      <c r="A31" s="168"/>
      <c r="B31" s="166"/>
      <c r="C31" s="166"/>
      <c r="D31" s="166"/>
      <c r="E31" s="166"/>
      <c r="F31" s="166"/>
      <c r="G31" s="166"/>
      <c r="H31" s="166"/>
      <c r="I31" s="166"/>
      <c r="J31" s="168">
        <v>8855</v>
      </c>
      <c r="K31" s="170">
        <v>0</v>
      </c>
      <c r="L31" s="170">
        <v>0</v>
      </c>
      <c r="M31" s="170">
        <v>0</v>
      </c>
      <c r="N31" s="177"/>
    </row>
    <row r="32" spans="1:14">
      <c r="A32" s="170">
        <v>21073092</v>
      </c>
      <c r="B32" s="169" t="s">
        <v>247</v>
      </c>
      <c r="C32" s="170" t="s">
        <v>196</v>
      </c>
      <c r="D32" s="170">
        <v>8.18</v>
      </c>
      <c r="E32" s="170" t="s">
        <v>199</v>
      </c>
      <c r="F32" s="171">
        <v>168015</v>
      </c>
      <c r="G32" s="171">
        <v>167910</v>
      </c>
      <c r="H32" s="170">
        <v>0</v>
      </c>
      <c r="I32" s="169" t="s">
        <v>248</v>
      </c>
      <c r="J32" s="171">
        <v>167910</v>
      </c>
      <c r="K32" s="172" t="s">
        <v>195</v>
      </c>
      <c r="L32" s="172"/>
      <c r="M32" s="172"/>
      <c r="N32" s="170">
        <v>-858.9</v>
      </c>
    </row>
    <row r="33" spans="1:14">
      <c r="A33" s="172"/>
      <c r="B33" s="176"/>
      <c r="C33" s="176"/>
      <c r="D33" s="176"/>
      <c r="E33" s="176"/>
      <c r="F33" s="176"/>
      <c r="G33" s="176"/>
      <c r="H33" s="176"/>
      <c r="I33" s="176"/>
      <c r="J33" s="172">
        <v>8855</v>
      </c>
      <c r="K33" s="168">
        <v>0</v>
      </c>
      <c r="L33" s="168">
        <v>0</v>
      </c>
      <c r="M33" s="168">
        <v>0</v>
      </c>
      <c r="N33" s="177"/>
    </row>
    <row r="34" spans="1:14">
      <c r="A34" s="168">
        <v>21072273</v>
      </c>
      <c r="B34" s="167" t="s">
        <v>245</v>
      </c>
      <c r="C34" s="168" t="s">
        <v>193</v>
      </c>
      <c r="D34" s="168">
        <v>12.85</v>
      </c>
      <c r="E34" s="168" t="s">
        <v>201</v>
      </c>
      <c r="F34" s="168">
        <v>0.93152000000000001</v>
      </c>
      <c r="G34" s="168">
        <v>0.93430000000000002</v>
      </c>
      <c r="H34" s="168">
        <v>0</v>
      </c>
      <c r="I34" s="167" t="s">
        <v>246</v>
      </c>
      <c r="J34" s="168">
        <v>0.93430000000000002</v>
      </c>
      <c r="K34" s="168" t="s">
        <v>203</v>
      </c>
      <c r="L34" s="168"/>
      <c r="M34" s="168"/>
      <c r="N34" s="168">
        <v>-3572.3</v>
      </c>
    </row>
    <row r="35" spans="1:14">
      <c r="A35" s="168"/>
      <c r="B35" s="166"/>
      <c r="C35" s="166"/>
      <c r="D35" s="166"/>
      <c r="E35" s="166"/>
      <c r="F35" s="166"/>
      <c r="G35" s="166"/>
      <c r="H35" s="166"/>
      <c r="I35" s="166"/>
      <c r="J35" s="168">
        <v>8855</v>
      </c>
      <c r="K35" s="170">
        <v>0</v>
      </c>
      <c r="L35" s="170">
        <v>0</v>
      </c>
      <c r="M35" s="170">
        <v>-4.8</v>
      </c>
      <c r="N35" s="177"/>
    </row>
    <row r="36" spans="1:14">
      <c r="A36" s="170">
        <v>21073546</v>
      </c>
      <c r="B36" s="169" t="s">
        <v>249</v>
      </c>
      <c r="C36" s="170" t="s">
        <v>193</v>
      </c>
      <c r="D36" s="170">
        <v>5.65</v>
      </c>
      <c r="E36" s="170" t="s">
        <v>194</v>
      </c>
      <c r="F36" s="170">
        <v>0.82184000000000001</v>
      </c>
      <c r="G36" s="170">
        <v>0.82169999999999999</v>
      </c>
      <c r="H36" s="170">
        <v>0</v>
      </c>
      <c r="I36" s="169" t="s">
        <v>250</v>
      </c>
      <c r="J36" s="170">
        <v>0.82169999999999999</v>
      </c>
      <c r="K36" s="172" t="s">
        <v>198</v>
      </c>
      <c r="L36" s="172"/>
      <c r="M36" s="172"/>
      <c r="N36" s="170">
        <v>132.83000000000001</v>
      </c>
    </row>
    <row r="37" spans="1:14">
      <c r="A37" s="172"/>
      <c r="B37" s="176"/>
      <c r="C37" s="176"/>
      <c r="D37" s="176"/>
      <c r="E37" s="176"/>
      <c r="F37" s="176"/>
      <c r="G37" s="176"/>
      <c r="H37" s="176"/>
      <c r="I37" s="176"/>
      <c r="J37" s="172">
        <v>8855</v>
      </c>
      <c r="K37" s="168">
        <v>0</v>
      </c>
      <c r="L37" s="168">
        <v>0</v>
      </c>
      <c r="M37" s="168">
        <v>-13.26</v>
      </c>
      <c r="N37" s="177"/>
    </row>
    <row r="38" spans="1:14">
      <c r="A38" s="168">
        <v>21076576</v>
      </c>
      <c r="B38" s="167" t="s">
        <v>259</v>
      </c>
      <c r="C38" s="168" t="s">
        <v>193</v>
      </c>
      <c r="D38" s="168">
        <v>5.9</v>
      </c>
      <c r="E38" s="168" t="s">
        <v>197</v>
      </c>
      <c r="F38" s="173">
        <v>138015</v>
      </c>
      <c r="G38" s="173">
        <v>138050</v>
      </c>
      <c r="H38" s="168">
        <v>0</v>
      </c>
      <c r="I38" s="167" t="s">
        <v>260</v>
      </c>
      <c r="J38" s="173">
        <v>138050</v>
      </c>
      <c r="K38" s="168" t="s">
        <v>198</v>
      </c>
      <c r="L38" s="168"/>
      <c r="M38" s="168"/>
      <c r="N38" s="168">
        <v>-206.5</v>
      </c>
    </row>
    <row r="39" spans="1:14">
      <c r="A39" s="168"/>
      <c r="B39" s="166"/>
      <c r="C39" s="166"/>
      <c r="D39" s="166"/>
      <c r="E39" s="166"/>
      <c r="F39" s="166"/>
      <c r="G39" s="166"/>
      <c r="H39" s="166"/>
      <c r="I39" s="166"/>
      <c r="J39" s="168">
        <v>8855</v>
      </c>
      <c r="K39" s="170">
        <v>0</v>
      </c>
      <c r="L39" s="170">
        <v>0</v>
      </c>
      <c r="M39" s="170">
        <v>-20.59</v>
      </c>
      <c r="N39" s="177"/>
    </row>
    <row r="40" spans="1:14">
      <c r="A40" s="170">
        <v>21076635</v>
      </c>
      <c r="B40" s="169" t="s">
        <v>261</v>
      </c>
      <c r="C40" s="170" t="s">
        <v>193</v>
      </c>
      <c r="D40" s="170">
        <v>9.16</v>
      </c>
      <c r="E40" s="170" t="s">
        <v>197</v>
      </c>
      <c r="F40" s="171">
        <v>137981</v>
      </c>
      <c r="G40" s="171">
        <v>138160</v>
      </c>
      <c r="H40" s="170">
        <v>0</v>
      </c>
      <c r="I40" s="169" t="s">
        <v>262</v>
      </c>
      <c r="J40" s="171">
        <v>138160</v>
      </c>
      <c r="K40" s="172" t="s">
        <v>195</v>
      </c>
      <c r="L40" s="172"/>
      <c r="M40" s="172"/>
      <c r="N40" s="170">
        <v>-1639.64</v>
      </c>
    </row>
    <row r="41" spans="1:14">
      <c r="A41" s="172"/>
      <c r="B41" s="176"/>
      <c r="C41" s="176"/>
      <c r="D41" s="176"/>
      <c r="E41" s="176"/>
      <c r="F41" s="176"/>
      <c r="G41" s="176"/>
      <c r="H41" s="176"/>
      <c r="I41" s="176"/>
      <c r="J41" s="172">
        <v>8855</v>
      </c>
      <c r="K41" s="168">
        <v>0</v>
      </c>
      <c r="L41" s="168">
        <v>0</v>
      </c>
      <c r="M41" s="168">
        <v>0</v>
      </c>
      <c r="N41" s="177"/>
    </row>
    <row r="42" spans="1:14">
      <c r="A42" s="168">
        <v>21081737</v>
      </c>
      <c r="B42" s="167" t="s">
        <v>271</v>
      </c>
      <c r="C42" s="168" t="s">
        <v>196</v>
      </c>
      <c r="D42" s="168">
        <v>4.33</v>
      </c>
      <c r="E42" s="168" t="s">
        <v>200</v>
      </c>
      <c r="F42" s="168">
        <v>0.88566</v>
      </c>
      <c r="G42" s="168">
        <v>0.88349999999999995</v>
      </c>
      <c r="H42" s="168">
        <v>0</v>
      </c>
      <c r="I42" s="167" t="s">
        <v>272</v>
      </c>
      <c r="J42" s="168">
        <v>0.88349999999999995</v>
      </c>
      <c r="K42" s="168" t="s">
        <v>195</v>
      </c>
      <c r="L42" s="168"/>
      <c r="M42" s="168"/>
      <c r="N42" s="168">
        <v>-1058.6099999999999</v>
      </c>
    </row>
    <row r="43" spans="1:14">
      <c r="A43" s="168"/>
      <c r="B43" s="166"/>
      <c r="C43" s="166"/>
      <c r="D43" s="166"/>
      <c r="E43" s="166"/>
      <c r="F43" s="166"/>
      <c r="G43" s="166"/>
      <c r="H43" s="166"/>
      <c r="I43" s="166"/>
      <c r="J43" s="168">
        <v>8855</v>
      </c>
      <c r="K43" s="170">
        <v>0</v>
      </c>
      <c r="L43" s="170">
        <v>0</v>
      </c>
      <c r="M43" s="170">
        <v>0</v>
      </c>
      <c r="N43" s="177"/>
    </row>
    <row r="44" spans="1:14">
      <c r="A44" s="170">
        <v>21080326</v>
      </c>
      <c r="B44" s="169" t="s">
        <v>263</v>
      </c>
      <c r="C44" s="170" t="s">
        <v>196</v>
      </c>
      <c r="D44" s="170">
        <v>4.83</v>
      </c>
      <c r="E44" s="170" t="s">
        <v>202</v>
      </c>
      <c r="F44" s="171">
        <v>110255</v>
      </c>
      <c r="G44" s="171">
        <v>110090</v>
      </c>
      <c r="H44" s="170">
        <v>0</v>
      </c>
      <c r="I44" s="169" t="s">
        <v>264</v>
      </c>
      <c r="J44" s="171">
        <v>110090</v>
      </c>
      <c r="K44" s="172" t="s">
        <v>198</v>
      </c>
      <c r="L44" s="172"/>
      <c r="M44" s="172"/>
      <c r="N44" s="170">
        <v>-723.91</v>
      </c>
    </row>
    <row r="45" spans="1:14">
      <c r="A45" s="172"/>
      <c r="B45" s="176"/>
      <c r="C45" s="176"/>
      <c r="D45" s="176"/>
      <c r="E45" s="176"/>
      <c r="F45" s="176"/>
      <c r="G45" s="176"/>
      <c r="H45" s="176"/>
      <c r="I45" s="176"/>
      <c r="J45" s="172">
        <v>8855</v>
      </c>
      <c r="K45" s="168">
        <v>0</v>
      </c>
      <c r="L45" s="168">
        <v>0</v>
      </c>
      <c r="M45" s="168">
        <v>-85.52</v>
      </c>
      <c r="N45" s="177"/>
    </row>
    <row r="46" spans="1:14">
      <c r="A46" s="168">
        <v>21069701</v>
      </c>
      <c r="B46" s="167" t="s">
        <v>243</v>
      </c>
      <c r="C46" s="168" t="s">
        <v>196</v>
      </c>
      <c r="D46" s="168">
        <v>7.07</v>
      </c>
      <c r="E46" s="168" t="s">
        <v>202</v>
      </c>
      <c r="F46" s="173">
        <v>110305</v>
      </c>
      <c r="G46" s="173">
        <v>110050</v>
      </c>
      <c r="H46" s="168">
        <v>0</v>
      </c>
      <c r="I46" s="167" t="s">
        <v>244</v>
      </c>
      <c r="J46" s="173">
        <v>110050</v>
      </c>
      <c r="K46" s="168" t="s">
        <v>195</v>
      </c>
      <c r="L46" s="168"/>
      <c r="M46" s="168"/>
      <c r="N46" s="168">
        <v>-1638.21</v>
      </c>
    </row>
    <row r="47" spans="1:14">
      <c r="A47" s="168"/>
      <c r="B47" s="166"/>
      <c r="C47" s="166"/>
      <c r="D47" s="166"/>
      <c r="E47" s="166"/>
      <c r="F47" s="166"/>
      <c r="G47" s="166"/>
      <c r="H47" s="166"/>
      <c r="I47" s="166"/>
      <c r="J47" s="168">
        <v>8855</v>
      </c>
      <c r="K47" s="170">
        <v>0</v>
      </c>
      <c r="L47" s="170">
        <v>0</v>
      </c>
      <c r="M47" s="170">
        <v>-8.19</v>
      </c>
      <c r="N47" s="177"/>
    </row>
    <row r="48" spans="1:14">
      <c r="A48" s="170">
        <v>21076560</v>
      </c>
      <c r="B48" s="169" t="s">
        <v>257</v>
      </c>
      <c r="C48" s="170" t="s">
        <v>193</v>
      </c>
      <c r="D48" s="170">
        <v>9.64</v>
      </c>
      <c r="E48" s="170" t="s">
        <v>194</v>
      </c>
      <c r="F48" s="170">
        <v>0.82150000000000001</v>
      </c>
      <c r="G48" s="170">
        <v>0.82169999999999999</v>
      </c>
      <c r="H48" s="170">
        <v>0</v>
      </c>
      <c r="I48" s="169" t="s">
        <v>258</v>
      </c>
      <c r="J48" s="170">
        <v>0.82169999999999999</v>
      </c>
      <c r="K48" s="172" t="s">
        <v>195</v>
      </c>
      <c r="L48" s="172"/>
      <c r="M48" s="172"/>
      <c r="N48" s="170">
        <v>-324.32</v>
      </c>
    </row>
    <row r="49" spans="1:14">
      <c r="A49" s="172"/>
      <c r="B49" s="176"/>
      <c r="C49" s="176"/>
      <c r="D49" s="176"/>
      <c r="E49" s="176"/>
      <c r="F49" s="176"/>
      <c r="G49" s="176"/>
      <c r="H49" s="176"/>
      <c r="I49" s="176"/>
      <c r="J49" s="172">
        <v>8855</v>
      </c>
      <c r="K49" s="168">
        <v>0</v>
      </c>
      <c r="L49" s="168">
        <v>0</v>
      </c>
      <c r="M49" s="168">
        <v>0</v>
      </c>
      <c r="N49" s="177"/>
    </row>
    <row r="50" spans="1:14">
      <c r="A50" s="168">
        <v>21082902</v>
      </c>
      <c r="B50" s="167" t="s">
        <v>275</v>
      </c>
      <c r="C50" s="168" t="s">
        <v>196</v>
      </c>
      <c r="D50" s="168">
        <v>2.73</v>
      </c>
      <c r="E50" s="168" t="s">
        <v>197</v>
      </c>
      <c r="F50" s="173">
        <v>138105</v>
      </c>
      <c r="G50" s="173">
        <v>138080</v>
      </c>
      <c r="H50" s="168">
        <v>0</v>
      </c>
      <c r="I50" s="167" t="s">
        <v>276</v>
      </c>
      <c r="J50" s="173">
        <v>138080</v>
      </c>
      <c r="K50" s="168" t="s">
        <v>198</v>
      </c>
      <c r="L50" s="168"/>
      <c r="M50" s="168"/>
      <c r="N50" s="168">
        <v>-68.25</v>
      </c>
    </row>
    <row r="51" spans="1:14">
      <c r="A51" s="168"/>
      <c r="B51" s="166"/>
      <c r="C51" s="166"/>
      <c r="D51" s="166"/>
      <c r="E51" s="166"/>
      <c r="F51" s="166"/>
      <c r="G51" s="166"/>
      <c r="H51" s="166"/>
      <c r="I51" s="166"/>
      <c r="J51" s="168">
        <v>8855</v>
      </c>
      <c r="K51" s="170">
        <v>0</v>
      </c>
      <c r="L51" s="170">
        <v>0</v>
      </c>
      <c r="M51" s="170">
        <v>0</v>
      </c>
      <c r="N51" s="177"/>
    </row>
    <row r="52" spans="1:14">
      <c r="A52" s="170">
        <v>21082103</v>
      </c>
      <c r="B52" s="169" t="s">
        <v>273</v>
      </c>
      <c r="C52" s="170" t="s">
        <v>193</v>
      </c>
      <c r="D52" s="170">
        <v>5.85</v>
      </c>
      <c r="E52" s="170" t="s">
        <v>200</v>
      </c>
      <c r="F52" s="170">
        <v>0.88412000000000002</v>
      </c>
      <c r="G52" s="170">
        <v>0.88617000000000001</v>
      </c>
      <c r="H52" s="170">
        <v>0</v>
      </c>
      <c r="I52" s="169" t="s">
        <v>274</v>
      </c>
      <c r="J52" s="170">
        <v>0.88617000000000001</v>
      </c>
      <c r="K52" s="172" t="s">
        <v>198</v>
      </c>
      <c r="L52" s="172"/>
      <c r="M52" s="172"/>
      <c r="N52" s="170">
        <v>-1353.3</v>
      </c>
    </row>
    <row r="53" spans="1:14">
      <c r="A53" s="172"/>
      <c r="B53" s="176"/>
      <c r="C53" s="176"/>
      <c r="D53" s="176"/>
      <c r="E53" s="176"/>
      <c r="F53" s="176"/>
      <c r="G53" s="176"/>
      <c r="H53" s="176"/>
      <c r="I53" s="176"/>
      <c r="J53" s="172">
        <v>8855</v>
      </c>
      <c r="K53" s="168">
        <v>0</v>
      </c>
      <c r="L53" s="168">
        <v>0</v>
      </c>
      <c r="M53" s="168">
        <v>15.17</v>
      </c>
      <c r="N53" s="177"/>
    </row>
    <row r="54" spans="1:14">
      <c r="A54" s="168">
        <v>21080658</v>
      </c>
      <c r="B54" s="167" t="s">
        <v>265</v>
      </c>
      <c r="C54" s="168" t="s">
        <v>196</v>
      </c>
      <c r="D54" s="168">
        <v>2.84</v>
      </c>
      <c r="E54" s="168" t="s">
        <v>201</v>
      </c>
      <c r="F54" s="168">
        <v>0.93518000000000001</v>
      </c>
      <c r="G54" s="168">
        <v>0.93579999999999997</v>
      </c>
      <c r="H54" s="168">
        <v>0</v>
      </c>
      <c r="I54" s="167" t="s">
        <v>266</v>
      </c>
      <c r="J54" s="168">
        <v>0.93579999999999997</v>
      </c>
      <c r="K54" s="168" t="s">
        <v>198</v>
      </c>
      <c r="L54" s="168"/>
      <c r="M54" s="168"/>
      <c r="N54" s="168">
        <v>176.08</v>
      </c>
    </row>
    <row r="55" spans="1:14">
      <c r="A55" s="168"/>
      <c r="B55" s="166"/>
      <c r="C55" s="166"/>
      <c r="D55" s="166"/>
      <c r="E55" s="166"/>
      <c r="F55" s="166"/>
      <c r="G55" s="166"/>
      <c r="H55" s="166"/>
      <c r="I55" s="166"/>
      <c r="J55" s="168">
        <v>8855</v>
      </c>
      <c r="K55" s="170">
        <v>0</v>
      </c>
      <c r="L55" s="170">
        <v>0</v>
      </c>
      <c r="M55" s="170">
        <v>23.72</v>
      </c>
      <c r="N55" s="177"/>
    </row>
    <row r="56" spans="1:14">
      <c r="A56" s="170">
        <v>21081628</v>
      </c>
      <c r="B56" s="169" t="s">
        <v>269</v>
      </c>
      <c r="C56" s="170" t="s">
        <v>196</v>
      </c>
      <c r="D56" s="170">
        <v>4.4400000000000004</v>
      </c>
      <c r="E56" s="170" t="s">
        <v>201</v>
      </c>
      <c r="F56" s="170">
        <v>0.93635000000000002</v>
      </c>
      <c r="G56" s="170">
        <v>0.93430000000000002</v>
      </c>
      <c r="H56" s="170">
        <v>0</v>
      </c>
      <c r="I56" s="169" t="s">
        <v>270</v>
      </c>
      <c r="J56" s="170">
        <v>0.93430000000000002</v>
      </c>
      <c r="K56" s="172" t="s">
        <v>195</v>
      </c>
      <c r="L56" s="172"/>
      <c r="M56" s="172"/>
      <c r="N56" s="170">
        <v>-910.2</v>
      </c>
    </row>
    <row r="57" spans="1:14">
      <c r="A57" s="172"/>
      <c r="B57" s="176"/>
      <c r="C57" s="176"/>
      <c r="D57" s="176"/>
      <c r="E57" s="176"/>
      <c r="F57" s="176"/>
      <c r="G57" s="176"/>
      <c r="H57" s="176"/>
      <c r="I57" s="176"/>
      <c r="J57" s="172">
        <v>8855</v>
      </c>
      <c r="K57" s="168">
        <v>0</v>
      </c>
      <c r="L57" s="168">
        <v>0</v>
      </c>
      <c r="M57" s="168">
        <v>-6.48</v>
      </c>
      <c r="N57" s="177"/>
    </row>
    <row r="58" spans="1:14">
      <c r="A58" s="168">
        <v>21081594</v>
      </c>
      <c r="B58" s="167" t="s">
        <v>267</v>
      </c>
      <c r="C58" s="168" t="s">
        <v>196</v>
      </c>
      <c r="D58" s="168">
        <v>5.9</v>
      </c>
      <c r="E58" s="168" t="s">
        <v>199</v>
      </c>
      <c r="F58" s="173">
        <v>168007</v>
      </c>
      <c r="G58" s="173">
        <v>168230</v>
      </c>
      <c r="H58" s="168">
        <v>0</v>
      </c>
      <c r="I58" s="167" t="s">
        <v>268</v>
      </c>
      <c r="J58" s="173">
        <v>168230</v>
      </c>
      <c r="K58" s="168" t="s">
        <v>198</v>
      </c>
      <c r="L58" s="168"/>
      <c r="M58" s="168"/>
      <c r="N58" s="168">
        <v>1315.7</v>
      </c>
    </row>
    <row r="59" spans="1:14">
      <c r="A59" s="168"/>
      <c r="B59" s="166"/>
      <c r="C59" s="166"/>
      <c r="D59" s="166"/>
      <c r="E59" s="166"/>
      <c r="F59" s="166"/>
      <c r="G59" s="166"/>
      <c r="H59" s="166"/>
      <c r="I59" s="166"/>
      <c r="J59" s="168">
        <v>8855</v>
      </c>
      <c r="K59" s="170">
        <v>0</v>
      </c>
      <c r="L59" s="170">
        <v>0</v>
      </c>
      <c r="M59" s="170">
        <v>0</v>
      </c>
      <c r="N59" s="177"/>
    </row>
    <row r="60" spans="1:14">
      <c r="A60" s="170">
        <v>21093248</v>
      </c>
      <c r="B60" s="169" t="s">
        <v>281</v>
      </c>
      <c r="C60" s="170" t="s">
        <v>196</v>
      </c>
      <c r="D60" s="170">
        <v>3.98</v>
      </c>
      <c r="E60" s="170" t="s">
        <v>197</v>
      </c>
      <c r="F60" s="171">
        <v>138225</v>
      </c>
      <c r="G60" s="171">
        <v>138040</v>
      </c>
      <c r="H60" s="170">
        <v>0</v>
      </c>
      <c r="I60" s="169" t="s">
        <v>282</v>
      </c>
      <c r="J60" s="171">
        <v>138040</v>
      </c>
      <c r="K60" s="172" t="s">
        <v>198</v>
      </c>
      <c r="L60" s="172"/>
      <c r="M60" s="172"/>
      <c r="N60" s="170">
        <v>-736.3</v>
      </c>
    </row>
    <row r="61" spans="1:14">
      <c r="A61" s="172"/>
      <c r="B61" s="176"/>
      <c r="C61" s="176"/>
      <c r="D61" s="176"/>
      <c r="E61" s="176"/>
      <c r="F61" s="176"/>
      <c r="G61" s="176"/>
      <c r="H61" s="176"/>
      <c r="I61" s="176"/>
      <c r="J61" s="172">
        <v>8855</v>
      </c>
      <c r="K61" s="168">
        <v>0</v>
      </c>
      <c r="L61" s="168">
        <v>0</v>
      </c>
      <c r="M61" s="168">
        <v>0</v>
      </c>
      <c r="N61" s="177"/>
    </row>
    <row r="62" spans="1:14">
      <c r="A62" s="168">
        <v>21091808</v>
      </c>
      <c r="B62" s="167" t="s">
        <v>279</v>
      </c>
      <c r="C62" s="168" t="s">
        <v>196</v>
      </c>
      <c r="D62" s="168">
        <v>5.34</v>
      </c>
      <c r="E62" s="168" t="s">
        <v>202</v>
      </c>
      <c r="F62" s="173">
        <v>110373</v>
      </c>
      <c r="G62" s="173">
        <v>110240</v>
      </c>
      <c r="H62" s="168">
        <v>0</v>
      </c>
      <c r="I62" s="167" t="s">
        <v>280</v>
      </c>
      <c r="J62" s="173">
        <v>110240</v>
      </c>
      <c r="K62" s="168" t="s">
        <v>198</v>
      </c>
      <c r="L62" s="168"/>
      <c r="M62" s="168"/>
      <c r="N62" s="168">
        <v>-644.25</v>
      </c>
    </row>
    <row r="63" spans="1:14">
      <c r="A63" s="168"/>
      <c r="B63" s="166"/>
      <c r="C63" s="166"/>
      <c r="D63" s="166"/>
      <c r="E63" s="166"/>
      <c r="F63" s="166"/>
      <c r="G63" s="166"/>
      <c r="H63" s="166"/>
      <c r="I63" s="166"/>
      <c r="J63" s="168">
        <v>8855</v>
      </c>
      <c r="K63" s="170">
        <v>0</v>
      </c>
      <c r="L63" s="170">
        <v>0</v>
      </c>
      <c r="M63" s="170">
        <v>-10.77</v>
      </c>
      <c r="N63" s="177"/>
    </row>
    <row r="64" spans="1:14">
      <c r="A64" s="170">
        <v>21087334</v>
      </c>
      <c r="B64" s="169" t="s">
        <v>277</v>
      </c>
      <c r="C64" s="170" t="s">
        <v>196</v>
      </c>
      <c r="D64" s="170">
        <v>1.78</v>
      </c>
      <c r="E64" s="170" t="s">
        <v>202</v>
      </c>
      <c r="F64" s="171">
        <v>110385</v>
      </c>
      <c r="G64" s="171">
        <v>110220</v>
      </c>
      <c r="H64" s="170">
        <v>0</v>
      </c>
      <c r="I64" s="169" t="s">
        <v>278</v>
      </c>
      <c r="J64" s="171">
        <v>110220</v>
      </c>
      <c r="K64" s="172" t="s">
        <v>195</v>
      </c>
      <c r="L64" s="172"/>
      <c r="M64" s="172"/>
      <c r="N64" s="170">
        <v>-266.47000000000003</v>
      </c>
    </row>
    <row r="65" spans="1:14">
      <c r="A65" s="172"/>
      <c r="B65" s="176"/>
      <c r="C65" s="176"/>
      <c r="D65" s="176"/>
      <c r="E65" s="176"/>
      <c r="F65" s="176"/>
      <c r="G65" s="176"/>
      <c r="H65" s="176"/>
      <c r="I65" s="176"/>
      <c r="J65" s="172">
        <v>8855</v>
      </c>
      <c r="K65" s="168">
        <v>0</v>
      </c>
      <c r="L65" s="168">
        <v>0</v>
      </c>
      <c r="M65" s="168">
        <v>-21.36</v>
      </c>
      <c r="N65" s="177"/>
    </row>
    <row r="66" spans="1:14">
      <c r="A66" s="168">
        <v>21073296</v>
      </c>
      <c r="B66" s="167" t="s">
        <v>288</v>
      </c>
      <c r="C66" s="168" t="s">
        <v>196</v>
      </c>
      <c r="D66" s="168">
        <v>9.73</v>
      </c>
      <c r="E66" s="168" t="s">
        <v>199</v>
      </c>
      <c r="F66" s="173">
        <v>168067</v>
      </c>
      <c r="G66" s="173">
        <v>167700</v>
      </c>
      <c r="H66" s="168">
        <v>0</v>
      </c>
      <c r="I66" s="167" t="s">
        <v>289</v>
      </c>
      <c r="J66" s="173">
        <v>167700</v>
      </c>
      <c r="K66" s="168" t="s">
        <v>203</v>
      </c>
      <c r="L66" s="168"/>
      <c r="M66" s="168"/>
      <c r="N66" s="168">
        <v>-3570.91</v>
      </c>
    </row>
    <row r="67" spans="1:14">
      <c r="A67" s="168"/>
      <c r="B67" s="166"/>
      <c r="C67" s="166"/>
      <c r="D67" s="166"/>
      <c r="E67" s="166"/>
      <c r="F67" s="166"/>
      <c r="G67" s="166"/>
      <c r="H67" s="166"/>
      <c r="I67" s="166"/>
      <c r="J67" s="168">
        <v>8855</v>
      </c>
      <c r="K67" s="170">
        <v>0</v>
      </c>
      <c r="L67" s="170">
        <v>0</v>
      </c>
      <c r="M67" s="170">
        <v>0</v>
      </c>
      <c r="N67" s="177"/>
    </row>
    <row r="68" spans="1:14">
      <c r="A68" s="170">
        <v>21097886</v>
      </c>
      <c r="B68" s="169" t="s">
        <v>292</v>
      </c>
      <c r="C68" s="170" t="s">
        <v>196</v>
      </c>
      <c r="D68" s="170">
        <v>2.4700000000000002</v>
      </c>
      <c r="E68" s="170" t="s">
        <v>202</v>
      </c>
      <c r="F68" s="171">
        <v>110515</v>
      </c>
      <c r="G68" s="171">
        <v>110220</v>
      </c>
      <c r="H68" s="170">
        <v>0</v>
      </c>
      <c r="I68" s="169" t="s">
        <v>293</v>
      </c>
      <c r="J68" s="171">
        <v>110220</v>
      </c>
      <c r="K68" s="172" t="s">
        <v>198</v>
      </c>
      <c r="L68" s="172"/>
      <c r="M68" s="172"/>
      <c r="N68" s="170">
        <v>-661.09</v>
      </c>
    </row>
    <row r="69" spans="1:14">
      <c r="A69" s="172"/>
      <c r="B69" s="176"/>
      <c r="C69" s="176"/>
      <c r="D69" s="176"/>
      <c r="E69" s="176"/>
      <c r="F69" s="176"/>
      <c r="G69" s="176"/>
      <c r="H69" s="176"/>
      <c r="I69" s="176"/>
      <c r="J69" s="172">
        <v>8855</v>
      </c>
      <c r="K69" s="168">
        <v>0</v>
      </c>
      <c r="L69" s="168">
        <v>0</v>
      </c>
      <c r="M69" s="168">
        <v>0</v>
      </c>
      <c r="N69" s="177"/>
    </row>
    <row r="70" spans="1:14">
      <c r="A70" s="168">
        <v>21097887</v>
      </c>
      <c r="B70" s="167" t="s">
        <v>294</v>
      </c>
      <c r="C70" s="168" t="s">
        <v>196</v>
      </c>
      <c r="D70" s="168">
        <v>4.9400000000000004</v>
      </c>
      <c r="E70" s="168" t="s">
        <v>202</v>
      </c>
      <c r="F70" s="173">
        <v>110515</v>
      </c>
      <c r="G70" s="173">
        <v>110220</v>
      </c>
      <c r="H70" s="168">
        <v>0</v>
      </c>
      <c r="I70" s="167" t="s">
        <v>293</v>
      </c>
      <c r="J70" s="173">
        <v>110220</v>
      </c>
      <c r="K70" s="168" t="s">
        <v>195</v>
      </c>
      <c r="L70" s="168"/>
      <c r="M70" s="168"/>
      <c r="N70" s="168">
        <v>-1322.17</v>
      </c>
    </row>
    <row r="71" spans="1:14">
      <c r="A71" s="168"/>
      <c r="B71" s="166"/>
      <c r="C71" s="166"/>
      <c r="D71" s="166"/>
      <c r="E71" s="166"/>
      <c r="F71" s="166"/>
      <c r="G71" s="166"/>
      <c r="H71" s="166"/>
      <c r="I71" s="166"/>
      <c r="J71" s="168">
        <v>8855</v>
      </c>
      <c r="K71" s="170">
        <v>0</v>
      </c>
      <c r="L71" s="170">
        <v>0</v>
      </c>
      <c r="M71" s="170">
        <v>0</v>
      </c>
      <c r="N71" s="177"/>
    </row>
    <row r="72" spans="1:14">
      <c r="A72" s="170">
        <v>21092539</v>
      </c>
      <c r="B72" s="169" t="s">
        <v>290</v>
      </c>
      <c r="C72" s="170" t="s">
        <v>193</v>
      </c>
      <c r="D72" s="170">
        <v>0.75</v>
      </c>
      <c r="E72" s="170" t="s">
        <v>201</v>
      </c>
      <c r="F72" s="170">
        <v>0.92832999999999999</v>
      </c>
      <c r="G72" s="170">
        <v>0.92930000000000001</v>
      </c>
      <c r="H72" s="170">
        <v>0</v>
      </c>
      <c r="I72" s="169" t="s">
        <v>291</v>
      </c>
      <c r="J72" s="170">
        <v>0.92930000000000001</v>
      </c>
      <c r="K72" s="172" t="s">
        <v>198</v>
      </c>
      <c r="L72" s="172"/>
      <c r="M72" s="172"/>
      <c r="N72" s="170">
        <v>-72.75</v>
      </c>
    </row>
    <row r="73" spans="1:14">
      <c r="A73" s="172"/>
      <c r="B73" s="176"/>
      <c r="C73" s="176"/>
      <c r="D73" s="176"/>
      <c r="E73" s="176"/>
      <c r="F73" s="176"/>
      <c r="G73" s="176"/>
      <c r="H73" s="176"/>
      <c r="I73" s="176"/>
      <c r="J73" s="172">
        <v>8855</v>
      </c>
      <c r="K73" s="168">
        <v>0</v>
      </c>
      <c r="L73" s="168">
        <v>0</v>
      </c>
      <c r="M73" s="168">
        <v>0</v>
      </c>
      <c r="N73" s="177"/>
    </row>
    <row r="74" spans="1:14">
      <c r="A74" s="168">
        <v>21102883</v>
      </c>
      <c r="B74" s="167" t="s">
        <v>303</v>
      </c>
      <c r="C74" s="168" t="s">
        <v>196</v>
      </c>
      <c r="D74" s="168">
        <v>4.29</v>
      </c>
      <c r="E74" s="168" t="s">
        <v>201</v>
      </c>
      <c r="F74" s="168">
        <v>0.92959999999999998</v>
      </c>
      <c r="G74" s="168">
        <v>0.92830000000000001</v>
      </c>
      <c r="H74" s="168">
        <v>0</v>
      </c>
      <c r="I74" s="167" t="s">
        <v>304</v>
      </c>
      <c r="J74" s="168">
        <v>0.92830000000000001</v>
      </c>
      <c r="K74" s="168" t="s">
        <v>198</v>
      </c>
      <c r="L74" s="168"/>
      <c r="M74" s="168"/>
      <c r="N74" s="168">
        <v>-557.70000000000005</v>
      </c>
    </row>
    <row r="75" spans="1:14">
      <c r="A75" s="168"/>
      <c r="B75" s="166"/>
      <c r="C75" s="166"/>
      <c r="D75" s="166"/>
      <c r="E75" s="166"/>
      <c r="F75" s="166"/>
      <c r="G75" s="166"/>
      <c r="H75" s="166"/>
      <c r="I75" s="166"/>
      <c r="J75" s="168">
        <v>8855</v>
      </c>
      <c r="K75" s="170">
        <v>0</v>
      </c>
      <c r="L75" s="170">
        <v>0</v>
      </c>
      <c r="M75" s="170">
        <v>0</v>
      </c>
      <c r="N75" s="177"/>
    </row>
    <row r="76" spans="1:14">
      <c r="A76" s="170">
        <v>21103530</v>
      </c>
      <c r="B76" s="169" t="s">
        <v>305</v>
      </c>
      <c r="C76" s="170" t="s">
        <v>196</v>
      </c>
      <c r="D76" s="170">
        <v>4.2699999999999996</v>
      </c>
      <c r="E76" s="170" t="s">
        <v>197</v>
      </c>
      <c r="F76" s="171">
        <v>138265</v>
      </c>
      <c r="G76" s="171">
        <v>138170</v>
      </c>
      <c r="H76" s="170">
        <v>0</v>
      </c>
      <c r="I76" s="169" t="s">
        <v>306</v>
      </c>
      <c r="J76" s="171">
        <v>138170</v>
      </c>
      <c r="K76" s="172" t="s">
        <v>198</v>
      </c>
      <c r="L76" s="172"/>
      <c r="M76" s="172"/>
      <c r="N76" s="170">
        <v>-405.65</v>
      </c>
    </row>
    <row r="77" spans="1:14">
      <c r="A77" s="172"/>
      <c r="B77" s="176"/>
      <c r="C77" s="176"/>
      <c r="D77" s="176"/>
      <c r="E77" s="176"/>
      <c r="F77" s="176"/>
      <c r="G77" s="176"/>
      <c r="H77" s="176"/>
      <c r="I77" s="176"/>
      <c r="J77" s="172">
        <v>8855</v>
      </c>
      <c r="K77" s="168">
        <v>0</v>
      </c>
      <c r="L77" s="168">
        <v>0</v>
      </c>
      <c r="M77" s="168">
        <v>-17.71</v>
      </c>
      <c r="N77" s="177"/>
    </row>
    <row r="78" spans="1:14">
      <c r="A78" s="168">
        <v>21094583</v>
      </c>
      <c r="B78" s="167" t="s">
        <v>299</v>
      </c>
      <c r="C78" s="168" t="s">
        <v>193</v>
      </c>
      <c r="D78" s="168">
        <v>3</v>
      </c>
      <c r="E78" s="168" t="s">
        <v>200</v>
      </c>
      <c r="F78" s="168">
        <v>0.88253999999999999</v>
      </c>
      <c r="G78" s="168">
        <v>0.88370000000000004</v>
      </c>
      <c r="H78" s="168">
        <v>0</v>
      </c>
      <c r="I78" s="167" t="s">
        <v>300</v>
      </c>
      <c r="J78" s="168">
        <v>0.88370000000000004</v>
      </c>
      <c r="K78" s="168" t="s">
        <v>198</v>
      </c>
      <c r="L78" s="168"/>
      <c r="M78" s="168"/>
      <c r="N78" s="168">
        <v>-393.8</v>
      </c>
    </row>
    <row r="79" spans="1:14">
      <c r="A79" s="168"/>
      <c r="B79" s="166"/>
      <c r="C79" s="166"/>
      <c r="D79" s="166"/>
      <c r="E79" s="166"/>
      <c r="F79" s="166"/>
      <c r="G79" s="166"/>
      <c r="H79" s="166"/>
      <c r="I79" s="166"/>
      <c r="J79" s="168">
        <v>8855</v>
      </c>
      <c r="K79" s="170">
        <v>0</v>
      </c>
      <c r="L79" s="170">
        <v>0</v>
      </c>
      <c r="M79" s="170">
        <v>-42.12</v>
      </c>
      <c r="N79" s="177"/>
    </row>
    <row r="80" spans="1:14">
      <c r="A80" s="170">
        <v>21094512</v>
      </c>
      <c r="B80" s="169" t="s">
        <v>297</v>
      </c>
      <c r="C80" s="170" t="s">
        <v>196</v>
      </c>
      <c r="D80" s="170">
        <v>3.74</v>
      </c>
      <c r="E80" s="170" t="s">
        <v>194</v>
      </c>
      <c r="F80" s="170">
        <v>0.82264999999999999</v>
      </c>
      <c r="G80" s="170">
        <v>0.82279999999999998</v>
      </c>
      <c r="H80" s="170">
        <v>0</v>
      </c>
      <c r="I80" s="169" t="s">
        <v>298</v>
      </c>
      <c r="J80" s="170">
        <v>0.82279999999999998</v>
      </c>
      <c r="K80" s="172" t="s">
        <v>198</v>
      </c>
      <c r="L80" s="172"/>
      <c r="M80" s="172"/>
      <c r="N80" s="170">
        <v>94.18</v>
      </c>
    </row>
    <row r="81" spans="1:14">
      <c r="A81" s="172"/>
      <c r="B81" s="176"/>
      <c r="C81" s="176"/>
      <c r="D81" s="176"/>
      <c r="E81" s="176"/>
      <c r="F81" s="176"/>
      <c r="G81" s="176"/>
      <c r="H81" s="176"/>
      <c r="I81" s="176"/>
      <c r="J81" s="172">
        <v>8855</v>
      </c>
      <c r="K81" s="168">
        <v>0</v>
      </c>
      <c r="L81" s="168">
        <v>0</v>
      </c>
      <c r="M81" s="168">
        <v>-25.24</v>
      </c>
      <c r="N81" s="177"/>
    </row>
    <row r="82" spans="1:14">
      <c r="A82" s="168">
        <v>21096026</v>
      </c>
      <c r="B82" s="167" t="s">
        <v>301</v>
      </c>
      <c r="C82" s="168" t="s">
        <v>193</v>
      </c>
      <c r="D82" s="168">
        <v>1.87</v>
      </c>
      <c r="E82" s="168" t="s">
        <v>199</v>
      </c>
      <c r="F82" s="173">
        <v>167853</v>
      </c>
      <c r="G82" s="173">
        <v>167950</v>
      </c>
      <c r="H82" s="168">
        <v>0</v>
      </c>
      <c r="I82" s="167" t="s">
        <v>302</v>
      </c>
      <c r="J82" s="173">
        <v>167950</v>
      </c>
      <c r="K82" s="168" t="s">
        <v>198</v>
      </c>
      <c r="L82" s="168"/>
      <c r="M82" s="168"/>
      <c r="N82" s="168">
        <v>-181.39</v>
      </c>
    </row>
    <row r="83" spans="1:14">
      <c r="A83" s="168"/>
      <c r="B83" s="166"/>
      <c r="C83" s="166"/>
      <c r="D83" s="166"/>
      <c r="E83" s="166"/>
      <c r="F83" s="166"/>
      <c r="G83" s="166"/>
      <c r="H83" s="166"/>
      <c r="I83" s="166"/>
      <c r="J83" s="168">
        <v>8855</v>
      </c>
      <c r="K83" s="170">
        <v>0</v>
      </c>
      <c r="L83" s="170">
        <v>0</v>
      </c>
      <c r="M83" s="170">
        <v>0</v>
      </c>
      <c r="N83" s="177"/>
    </row>
    <row r="84" spans="1:14">
      <c r="A84" s="170">
        <v>21105547</v>
      </c>
      <c r="B84" s="169" t="s">
        <v>311</v>
      </c>
      <c r="C84" s="170" t="s">
        <v>196</v>
      </c>
      <c r="D84" s="170">
        <v>3.34</v>
      </c>
      <c r="E84" s="170" t="s">
        <v>197</v>
      </c>
      <c r="F84" s="171">
        <v>138378</v>
      </c>
      <c r="G84" s="171">
        <v>138180</v>
      </c>
      <c r="H84" s="170">
        <v>0</v>
      </c>
      <c r="I84" s="169" t="s">
        <v>312</v>
      </c>
      <c r="J84" s="171">
        <v>138180</v>
      </c>
      <c r="K84" s="172" t="s">
        <v>198</v>
      </c>
      <c r="L84" s="172"/>
      <c r="M84" s="172"/>
      <c r="N84" s="170">
        <v>-661.32</v>
      </c>
    </row>
    <row r="85" spans="1:14">
      <c r="A85" s="172"/>
      <c r="B85" s="176"/>
      <c r="C85" s="176"/>
      <c r="D85" s="176"/>
      <c r="E85" s="176"/>
      <c r="F85" s="176"/>
      <c r="G85" s="176"/>
      <c r="H85" s="176"/>
      <c r="I85" s="176"/>
      <c r="J85" s="172">
        <v>8855</v>
      </c>
      <c r="K85" s="168">
        <v>0</v>
      </c>
      <c r="L85" s="168">
        <v>0</v>
      </c>
      <c r="M85" s="168">
        <v>0</v>
      </c>
      <c r="N85" s="177"/>
    </row>
    <row r="86" spans="1:14">
      <c r="A86" s="168">
        <v>21104850</v>
      </c>
      <c r="B86" s="167" t="s">
        <v>309</v>
      </c>
      <c r="C86" s="168" t="s">
        <v>193</v>
      </c>
      <c r="D86" s="168">
        <v>4.4800000000000004</v>
      </c>
      <c r="E86" s="168" t="s">
        <v>200</v>
      </c>
      <c r="F86" s="168">
        <v>0.88224000000000002</v>
      </c>
      <c r="G86" s="168">
        <v>0.88339999999999996</v>
      </c>
      <c r="H86" s="168">
        <v>0</v>
      </c>
      <c r="I86" s="167" t="s">
        <v>310</v>
      </c>
      <c r="J86" s="168">
        <v>0.88339999999999996</v>
      </c>
      <c r="K86" s="168" t="s">
        <v>198</v>
      </c>
      <c r="L86" s="168"/>
      <c r="M86" s="168"/>
      <c r="N86" s="168">
        <v>-588.27</v>
      </c>
    </row>
    <row r="87" spans="1:14">
      <c r="A87" s="168"/>
      <c r="B87" s="166"/>
      <c r="C87" s="166"/>
      <c r="D87" s="166"/>
      <c r="E87" s="166"/>
      <c r="F87" s="166"/>
      <c r="G87" s="166"/>
      <c r="H87" s="166"/>
      <c r="I87" s="166"/>
      <c r="J87" s="168">
        <v>8855</v>
      </c>
      <c r="K87" s="170">
        <v>0</v>
      </c>
      <c r="L87" s="170">
        <v>0</v>
      </c>
      <c r="M87" s="170">
        <v>0</v>
      </c>
      <c r="N87" s="177"/>
    </row>
    <row r="88" spans="1:14">
      <c r="A88" s="170">
        <v>21104777</v>
      </c>
      <c r="B88" s="169" t="s">
        <v>307</v>
      </c>
      <c r="C88" s="170" t="s">
        <v>196</v>
      </c>
      <c r="D88" s="170">
        <v>4.17</v>
      </c>
      <c r="E88" s="170" t="s">
        <v>199</v>
      </c>
      <c r="F88" s="171">
        <v>167950</v>
      </c>
      <c r="G88" s="171">
        <v>167790</v>
      </c>
      <c r="H88" s="170">
        <v>0</v>
      </c>
      <c r="I88" s="169" t="s">
        <v>308</v>
      </c>
      <c r="J88" s="171">
        <v>167790</v>
      </c>
      <c r="K88" s="172" t="s">
        <v>198</v>
      </c>
      <c r="L88" s="172"/>
      <c r="M88" s="172"/>
      <c r="N88" s="170">
        <v>-667.2</v>
      </c>
    </row>
    <row r="89" spans="1:14">
      <c r="A89" s="172"/>
      <c r="B89" s="176"/>
      <c r="C89" s="176"/>
      <c r="D89" s="176"/>
      <c r="E89" s="176"/>
      <c r="F89" s="176"/>
      <c r="G89" s="176"/>
      <c r="H89" s="176"/>
      <c r="I89" s="176"/>
      <c r="J89" s="172">
        <v>8855</v>
      </c>
      <c r="K89" s="168">
        <v>0</v>
      </c>
      <c r="L89" s="168">
        <v>0</v>
      </c>
      <c r="M89" s="168">
        <v>-26.75</v>
      </c>
      <c r="N89" s="177"/>
    </row>
    <row r="90" spans="1:14">
      <c r="A90" s="168">
        <v>21094590</v>
      </c>
      <c r="B90" s="167" t="s">
        <v>317</v>
      </c>
      <c r="C90" s="168" t="s">
        <v>193</v>
      </c>
      <c r="D90" s="168">
        <v>4.53</v>
      </c>
      <c r="E90" s="168" t="s">
        <v>200</v>
      </c>
      <c r="F90" s="168">
        <v>0.88244</v>
      </c>
      <c r="G90" s="168">
        <v>0.88419999999999999</v>
      </c>
      <c r="H90" s="168">
        <v>0</v>
      </c>
      <c r="I90" s="167" t="s">
        <v>318</v>
      </c>
      <c r="J90" s="168">
        <v>0.88419999999999999</v>
      </c>
      <c r="K90" s="168" t="s">
        <v>195</v>
      </c>
      <c r="L90" s="168"/>
      <c r="M90" s="168"/>
      <c r="N90" s="168">
        <v>-901.7</v>
      </c>
    </row>
    <row r="91" spans="1:14">
      <c r="A91" s="168"/>
      <c r="B91" s="166"/>
      <c r="C91" s="166"/>
      <c r="D91" s="166"/>
      <c r="E91" s="166"/>
      <c r="F91" s="166"/>
      <c r="G91" s="166"/>
      <c r="H91" s="166"/>
      <c r="I91" s="166"/>
      <c r="J91" s="168">
        <v>8855</v>
      </c>
      <c r="K91" s="170">
        <v>0</v>
      </c>
      <c r="L91" s="170">
        <v>0</v>
      </c>
      <c r="M91" s="170">
        <v>0</v>
      </c>
      <c r="N91" s="177"/>
    </row>
    <row r="92" spans="1:14">
      <c r="A92" s="170">
        <v>21105557</v>
      </c>
      <c r="B92" s="169" t="s">
        <v>323</v>
      </c>
      <c r="C92" s="170" t="s">
        <v>196</v>
      </c>
      <c r="D92" s="170">
        <v>3.03</v>
      </c>
      <c r="E92" s="170" t="s">
        <v>194</v>
      </c>
      <c r="F92" s="170">
        <v>0.82435000000000003</v>
      </c>
      <c r="G92" s="170">
        <v>0.82220000000000004</v>
      </c>
      <c r="H92" s="170">
        <v>0</v>
      </c>
      <c r="I92" s="169" t="s">
        <v>324</v>
      </c>
      <c r="J92" s="170">
        <v>0.82220000000000004</v>
      </c>
      <c r="K92" s="172" t="s">
        <v>198</v>
      </c>
      <c r="L92" s="172"/>
      <c r="M92" s="172"/>
      <c r="N92" s="170">
        <v>-1092.6500000000001</v>
      </c>
    </row>
    <row r="93" spans="1:14">
      <c r="A93" s="172"/>
      <c r="B93" s="176"/>
      <c r="C93" s="176"/>
      <c r="D93" s="176"/>
      <c r="E93" s="176"/>
      <c r="F93" s="176"/>
      <c r="G93" s="176"/>
      <c r="H93" s="176"/>
      <c r="I93" s="176"/>
      <c r="J93" s="172">
        <v>8855</v>
      </c>
      <c r="K93" s="168">
        <v>0</v>
      </c>
      <c r="L93" s="168">
        <v>0</v>
      </c>
      <c r="M93" s="168">
        <v>0</v>
      </c>
      <c r="N93" s="177"/>
    </row>
    <row r="94" spans="1:14">
      <c r="A94" s="168">
        <v>21106841</v>
      </c>
      <c r="B94" s="167" t="s">
        <v>315</v>
      </c>
      <c r="C94" s="168" t="s">
        <v>193</v>
      </c>
      <c r="D94" s="168">
        <v>4.3499999999999996</v>
      </c>
      <c r="E94" s="168" t="s">
        <v>202</v>
      </c>
      <c r="F94" s="173">
        <v>110204</v>
      </c>
      <c r="G94" s="173">
        <v>110340</v>
      </c>
      <c r="H94" s="168">
        <v>0</v>
      </c>
      <c r="I94" s="167" t="s">
        <v>316</v>
      </c>
      <c r="J94" s="173">
        <v>110340</v>
      </c>
      <c r="K94" s="168" t="s">
        <v>198</v>
      </c>
      <c r="L94" s="168"/>
      <c r="M94" s="168"/>
      <c r="N94" s="168">
        <v>-536.16</v>
      </c>
    </row>
    <row r="95" spans="1:14">
      <c r="A95" s="168"/>
      <c r="B95" s="166"/>
      <c r="C95" s="166"/>
      <c r="D95" s="166"/>
      <c r="E95" s="166"/>
      <c r="F95" s="166"/>
      <c r="G95" s="166"/>
      <c r="H95" s="166"/>
      <c r="I95" s="166"/>
      <c r="J95" s="168">
        <v>8855</v>
      </c>
      <c r="K95" s="170">
        <v>0</v>
      </c>
      <c r="L95" s="170">
        <v>0</v>
      </c>
      <c r="M95" s="170">
        <v>0</v>
      </c>
      <c r="N95" s="177"/>
    </row>
    <row r="96" spans="1:14">
      <c r="A96" s="170">
        <v>21109309</v>
      </c>
      <c r="B96" s="169" t="s">
        <v>321</v>
      </c>
      <c r="C96" s="170" t="s">
        <v>193</v>
      </c>
      <c r="D96" s="170">
        <v>3.95</v>
      </c>
      <c r="E96" s="170" t="s">
        <v>194</v>
      </c>
      <c r="F96" s="170">
        <v>0.82221999999999995</v>
      </c>
      <c r="G96" s="170">
        <v>0.82379999999999998</v>
      </c>
      <c r="H96" s="170">
        <v>0</v>
      </c>
      <c r="I96" s="169" t="s">
        <v>322</v>
      </c>
      <c r="J96" s="170">
        <v>0.82379999999999998</v>
      </c>
      <c r="K96" s="172" t="s">
        <v>198</v>
      </c>
      <c r="L96" s="172"/>
      <c r="M96" s="172"/>
      <c r="N96" s="170">
        <v>-1048.8900000000001</v>
      </c>
    </row>
    <row r="97" spans="1:14">
      <c r="A97" s="172"/>
      <c r="B97" s="176"/>
      <c r="C97" s="176"/>
      <c r="D97" s="176"/>
      <c r="E97" s="176"/>
      <c r="F97" s="176"/>
      <c r="G97" s="176"/>
      <c r="H97" s="176"/>
      <c r="I97" s="176"/>
      <c r="J97" s="172">
        <v>8855</v>
      </c>
      <c r="K97" s="168">
        <v>0</v>
      </c>
      <c r="L97" s="168">
        <v>0</v>
      </c>
      <c r="M97" s="168">
        <v>-146.68</v>
      </c>
      <c r="N97" s="177"/>
    </row>
    <row r="98" spans="1:14">
      <c r="A98" s="168">
        <v>21091970</v>
      </c>
      <c r="B98" s="167" t="s">
        <v>313</v>
      </c>
      <c r="C98" s="168" t="s">
        <v>193</v>
      </c>
      <c r="D98" s="168">
        <v>4.37</v>
      </c>
      <c r="E98" s="168" t="s">
        <v>201</v>
      </c>
      <c r="F98" s="168">
        <v>0.93052000000000001</v>
      </c>
      <c r="G98" s="168">
        <v>0.92769999999999997</v>
      </c>
      <c r="H98" s="168">
        <v>0</v>
      </c>
      <c r="I98" s="167" t="s">
        <v>314</v>
      </c>
      <c r="J98" s="168">
        <v>0.92769999999999997</v>
      </c>
      <c r="K98" s="168" t="s">
        <v>195</v>
      </c>
      <c r="L98" s="168"/>
      <c r="M98" s="168"/>
      <c r="N98" s="168">
        <v>1232.3399999999999</v>
      </c>
    </row>
    <row r="99" spans="1:14">
      <c r="A99" s="168"/>
      <c r="B99" s="166"/>
      <c r="C99" s="166"/>
      <c r="D99" s="166"/>
      <c r="E99" s="166"/>
      <c r="F99" s="166"/>
      <c r="G99" s="166"/>
      <c r="H99" s="166"/>
      <c r="I99" s="166"/>
      <c r="J99" s="168">
        <v>8855</v>
      </c>
      <c r="K99" s="170">
        <v>0</v>
      </c>
      <c r="L99" s="170">
        <v>0</v>
      </c>
      <c r="M99" s="170">
        <v>0</v>
      </c>
      <c r="N99" s="177"/>
    </row>
    <row r="100" spans="1:14">
      <c r="A100" s="170">
        <v>21119374</v>
      </c>
      <c r="B100" s="169" t="s">
        <v>319</v>
      </c>
      <c r="C100" s="170" t="s">
        <v>193</v>
      </c>
      <c r="D100" s="170">
        <v>5.19</v>
      </c>
      <c r="E100" s="170" t="s">
        <v>194</v>
      </c>
      <c r="F100" s="170">
        <v>0.82223000000000002</v>
      </c>
      <c r="G100" s="170">
        <v>0.82340000000000002</v>
      </c>
      <c r="H100" s="170">
        <v>0</v>
      </c>
      <c r="I100" s="169" t="s">
        <v>320</v>
      </c>
      <c r="J100" s="170">
        <v>0.82340000000000002</v>
      </c>
      <c r="K100" s="172" t="s">
        <v>198</v>
      </c>
      <c r="L100" s="172"/>
      <c r="M100" s="172"/>
      <c r="N100" s="170">
        <v>-1020.88</v>
      </c>
    </row>
    <row r="101" spans="1:14">
      <c r="A101" s="172"/>
      <c r="B101" s="176"/>
      <c r="C101" s="176"/>
      <c r="D101" s="176"/>
      <c r="E101" s="176"/>
      <c r="F101" s="176"/>
      <c r="G101" s="176"/>
      <c r="H101" s="176"/>
      <c r="I101" s="176"/>
      <c r="J101" s="172">
        <v>8855</v>
      </c>
      <c r="K101" s="168">
        <v>0</v>
      </c>
      <c r="L101" s="168">
        <v>0</v>
      </c>
      <c r="M101" s="168">
        <v>0</v>
      </c>
      <c r="N101" s="177"/>
    </row>
    <row r="102" spans="1:14">
      <c r="A102" s="168">
        <v>21121141</v>
      </c>
      <c r="B102" s="167" t="s">
        <v>327</v>
      </c>
      <c r="C102" s="168" t="s">
        <v>196</v>
      </c>
      <c r="D102" s="168">
        <v>2.4500000000000002</v>
      </c>
      <c r="E102" s="168" t="s">
        <v>201</v>
      </c>
      <c r="F102" s="168">
        <v>0.92935000000000001</v>
      </c>
      <c r="G102" s="168">
        <v>0.92789999999999995</v>
      </c>
      <c r="H102" s="168">
        <v>0</v>
      </c>
      <c r="I102" s="167" t="s">
        <v>328</v>
      </c>
      <c r="J102" s="168">
        <v>0.92789999999999995</v>
      </c>
      <c r="K102" s="168" t="s">
        <v>198</v>
      </c>
      <c r="L102" s="168"/>
      <c r="M102" s="168"/>
      <c r="N102" s="168">
        <v>-355.25</v>
      </c>
    </row>
    <row r="103" spans="1:14">
      <c r="A103" s="168"/>
      <c r="B103" s="166"/>
      <c r="C103" s="166"/>
      <c r="D103" s="166"/>
      <c r="E103" s="166"/>
      <c r="F103" s="166"/>
      <c r="G103" s="166"/>
      <c r="H103" s="166"/>
      <c r="I103" s="166"/>
      <c r="J103" s="168">
        <v>8855</v>
      </c>
      <c r="K103" s="170">
        <v>0</v>
      </c>
      <c r="L103" s="170">
        <v>0</v>
      </c>
      <c r="M103" s="170">
        <v>0</v>
      </c>
      <c r="N103" s="177"/>
    </row>
    <row r="104" spans="1:14">
      <c r="A104" s="170">
        <v>21119388</v>
      </c>
      <c r="B104" s="169" t="s">
        <v>329</v>
      </c>
      <c r="C104" s="170" t="s">
        <v>196</v>
      </c>
      <c r="D104" s="170">
        <v>5.42</v>
      </c>
      <c r="E104" s="170" t="s">
        <v>199</v>
      </c>
      <c r="F104" s="171">
        <v>168172</v>
      </c>
      <c r="G104" s="171">
        <v>168070</v>
      </c>
      <c r="H104" s="170">
        <v>0</v>
      </c>
      <c r="I104" s="169" t="s">
        <v>330</v>
      </c>
      <c r="J104" s="171">
        <v>168070</v>
      </c>
      <c r="K104" s="172" t="s">
        <v>195</v>
      </c>
      <c r="L104" s="172"/>
      <c r="M104" s="172"/>
      <c r="N104" s="170">
        <v>-552.84</v>
      </c>
    </row>
    <row r="105" spans="1:14">
      <c r="A105" s="172"/>
      <c r="B105" s="176"/>
      <c r="C105" s="176"/>
      <c r="D105" s="176"/>
      <c r="E105" s="176"/>
      <c r="F105" s="176"/>
      <c r="G105" s="176"/>
      <c r="H105" s="176"/>
      <c r="I105" s="176"/>
      <c r="J105" s="172">
        <v>8855</v>
      </c>
      <c r="K105" s="168">
        <v>0</v>
      </c>
      <c r="L105" s="168">
        <v>0</v>
      </c>
      <c r="M105" s="168">
        <v>0</v>
      </c>
      <c r="N105" s="177"/>
    </row>
    <row r="106" spans="1:14">
      <c r="A106" s="168">
        <v>21121188</v>
      </c>
      <c r="B106" s="167" t="s">
        <v>331</v>
      </c>
      <c r="C106" s="168" t="s">
        <v>193</v>
      </c>
      <c r="D106" s="168">
        <v>4.41</v>
      </c>
      <c r="E106" s="168" t="s">
        <v>202</v>
      </c>
      <c r="F106" s="173">
        <v>110184</v>
      </c>
      <c r="G106" s="173">
        <v>110320</v>
      </c>
      <c r="H106" s="168">
        <v>0</v>
      </c>
      <c r="I106" s="167" t="s">
        <v>332</v>
      </c>
      <c r="J106" s="173">
        <v>110320</v>
      </c>
      <c r="K106" s="168" t="s">
        <v>198</v>
      </c>
      <c r="L106" s="168"/>
      <c r="M106" s="168"/>
      <c r="N106" s="168">
        <v>-543.65</v>
      </c>
    </row>
    <row r="107" spans="1:14">
      <c r="A107" s="168"/>
      <c r="B107" s="166"/>
      <c r="C107" s="166"/>
      <c r="D107" s="166"/>
      <c r="E107" s="166"/>
      <c r="F107" s="166"/>
      <c r="G107" s="166"/>
      <c r="H107" s="166"/>
      <c r="I107" s="166"/>
      <c r="J107" s="168">
        <v>8855</v>
      </c>
      <c r="K107" s="170">
        <v>0</v>
      </c>
      <c r="L107" s="170">
        <v>0</v>
      </c>
      <c r="M107" s="170">
        <v>0</v>
      </c>
      <c r="N107" s="177"/>
    </row>
    <row r="108" spans="1:14">
      <c r="A108" s="170">
        <v>21119402</v>
      </c>
      <c r="B108" s="169" t="s">
        <v>333</v>
      </c>
      <c r="C108" s="170" t="s">
        <v>196</v>
      </c>
      <c r="D108" s="170">
        <v>3.11</v>
      </c>
      <c r="E108" s="170" t="s">
        <v>199</v>
      </c>
      <c r="F108" s="171">
        <v>168151</v>
      </c>
      <c r="G108" s="171">
        <v>168040</v>
      </c>
      <c r="H108" s="170">
        <v>0</v>
      </c>
      <c r="I108" s="169" t="s">
        <v>334</v>
      </c>
      <c r="J108" s="171">
        <v>168040</v>
      </c>
      <c r="K108" s="172" t="s">
        <v>198</v>
      </c>
      <c r="L108" s="172"/>
      <c r="M108" s="172"/>
      <c r="N108" s="170">
        <v>-345.21</v>
      </c>
    </row>
    <row r="109" spans="1:14">
      <c r="A109" s="172"/>
      <c r="B109" s="176"/>
      <c r="C109" s="176"/>
      <c r="D109" s="176"/>
      <c r="E109" s="176"/>
      <c r="F109" s="176"/>
      <c r="G109" s="176"/>
      <c r="H109" s="176"/>
      <c r="I109" s="176"/>
      <c r="J109" s="172">
        <v>8855</v>
      </c>
      <c r="K109" s="168">
        <v>0</v>
      </c>
      <c r="L109" s="168">
        <v>0</v>
      </c>
      <c r="M109" s="168">
        <v>0</v>
      </c>
      <c r="N109" s="177"/>
    </row>
    <row r="110" spans="1:14">
      <c r="A110" s="168">
        <v>21119366</v>
      </c>
      <c r="B110" s="167" t="s">
        <v>335</v>
      </c>
      <c r="C110" s="168" t="s">
        <v>193</v>
      </c>
      <c r="D110" s="168">
        <v>8.9600000000000009</v>
      </c>
      <c r="E110" s="168" t="s">
        <v>194</v>
      </c>
      <c r="F110" s="168">
        <v>0.82237000000000005</v>
      </c>
      <c r="G110" s="168">
        <v>0.82379999999999998</v>
      </c>
      <c r="H110" s="168">
        <v>0</v>
      </c>
      <c r="I110" s="167" t="s">
        <v>336</v>
      </c>
      <c r="J110" s="168">
        <v>0.82379999999999998</v>
      </c>
      <c r="K110" s="168" t="s">
        <v>195</v>
      </c>
      <c r="L110" s="168"/>
      <c r="M110" s="168"/>
      <c r="N110" s="168">
        <v>-2152.42</v>
      </c>
    </row>
    <row r="111" spans="1:14">
      <c r="A111" s="168"/>
      <c r="B111" s="166"/>
      <c r="C111" s="166"/>
      <c r="D111" s="166"/>
      <c r="E111" s="166"/>
      <c r="F111" s="166"/>
      <c r="G111" s="166"/>
      <c r="H111" s="166"/>
      <c r="I111" s="166"/>
      <c r="J111" s="168">
        <v>8855</v>
      </c>
      <c r="K111" s="170">
        <v>0</v>
      </c>
      <c r="L111" s="170">
        <v>0</v>
      </c>
      <c r="M111" s="170">
        <v>-6.06</v>
      </c>
      <c r="N111" s="177"/>
    </row>
    <row r="112" spans="1:14">
      <c r="A112" s="170">
        <v>21119914</v>
      </c>
      <c r="B112" s="169" t="s">
        <v>337</v>
      </c>
      <c r="C112" s="170" t="s">
        <v>193</v>
      </c>
      <c r="D112" s="170">
        <v>3.08</v>
      </c>
      <c r="E112" s="170" t="s">
        <v>200</v>
      </c>
      <c r="F112" s="170">
        <v>0.88021000000000005</v>
      </c>
      <c r="G112" s="170">
        <v>0.88190000000000002</v>
      </c>
      <c r="H112" s="170">
        <v>0</v>
      </c>
      <c r="I112" s="169" t="s">
        <v>338</v>
      </c>
      <c r="J112" s="170">
        <v>0.88190000000000002</v>
      </c>
      <c r="K112" s="172" t="s">
        <v>198</v>
      </c>
      <c r="L112" s="172"/>
      <c r="M112" s="172"/>
      <c r="N112" s="170">
        <v>-590.23</v>
      </c>
    </row>
    <row r="113" spans="1:14">
      <c r="A113" s="172"/>
      <c r="B113" s="176"/>
      <c r="C113" s="176"/>
      <c r="D113" s="176"/>
      <c r="E113" s="176"/>
      <c r="F113" s="176"/>
      <c r="G113" s="176"/>
      <c r="H113" s="176"/>
      <c r="I113" s="176"/>
      <c r="J113" s="172">
        <v>8855</v>
      </c>
      <c r="K113" s="168">
        <v>0</v>
      </c>
      <c r="L113" s="168">
        <v>0</v>
      </c>
      <c r="M113" s="168">
        <v>0</v>
      </c>
      <c r="N113" s="177"/>
    </row>
    <row r="114" spans="1:14">
      <c r="A114" s="168">
        <v>21127635</v>
      </c>
      <c r="B114" s="167" t="s">
        <v>339</v>
      </c>
      <c r="C114" s="168" t="s">
        <v>196</v>
      </c>
      <c r="D114" s="168">
        <v>3.58</v>
      </c>
      <c r="E114" s="168" t="s">
        <v>194</v>
      </c>
      <c r="F114" s="168">
        <v>0.82435000000000003</v>
      </c>
      <c r="G114" s="168">
        <v>0.82279999999999998</v>
      </c>
      <c r="H114" s="168">
        <v>0</v>
      </c>
      <c r="I114" s="167" t="s">
        <v>340</v>
      </c>
      <c r="J114" s="168">
        <v>0.82279999999999998</v>
      </c>
      <c r="K114" s="168" t="s">
        <v>198</v>
      </c>
      <c r="L114" s="168"/>
      <c r="M114" s="168"/>
      <c r="N114" s="168">
        <v>-931.96</v>
      </c>
    </row>
    <row r="115" spans="1:14">
      <c r="A115" s="168"/>
      <c r="B115" s="166"/>
      <c r="C115" s="166"/>
      <c r="D115" s="166"/>
      <c r="E115" s="166"/>
      <c r="F115" s="166"/>
      <c r="G115" s="166"/>
      <c r="H115" s="166"/>
      <c r="I115" s="166"/>
      <c r="J115" s="168">
        <v>8855</v>
      </c>
      <c r="K115" s="170">
        <v>0</v>
      </c>
      <c r="L115" s="170">
        <v>0</v>
      </c>
      <c r="M115" s="170">
        <v>-13.37</v>
      </c>
      <c r="N115" s="177"/>
    </row>
    <row r="116" spans="1:14">
      <c r="A116" s="170">
        <v>21124515</v>
      </c>
      <c r="B116" s="169" t="s">
        <v>341</v>
      </c>
      <c r="C116" s="170" t="s">
        <v>196</v>
      </c>
      <c r="D116" s="170">
        <v>2.21</v>
      </c>
      <c r="E116" s="170" t="s">
        <v>202</v>
      </c>
      <c r="F116" s="171">
        <v>110491</v>
      </c>
      <c r="G116" s="171">
        <v>110260</v>
      </c>
      <c r="H116" s="170">
        <v>0</v>
      </c>
      <c r="I116" s="169" t="s">
        <v>342</v>
      </c>
      <c r="J116" s="171">
        <v>110260</v>
      </c>
      <c r="K116" s="172" t="s">
        <v>198</v>
      </c>
      <c r="L116" s="172"/>
      <c r="M116" s="172"/>
      <c r="N116" s="170">
        <v>-463.01</v>
      </c>
    </row>
    <row r="117" spans="1:14">
      <c r="A117" s="172"/>
      <c r="B117" s="176"/>
      <c r="C117" s="176"/>
      <c r="D117" s="176"/>
      <c r="E117" s="176"/>
      <c r="F117" s="176"/>
      <c r="G117" s="176"/>
      <c r="H117" s="176"/>
      <c r="I117" s="176"/>
      <c r="J117" s="172">
        <v>8855</v>
      </c>
      <c r="K117" s="168">
        <v>0</v>
      </c>
      <c r="L117" s="168">
        <v>0</v>
      </c>
      <c r="M117" s="168">
        <v>0</v>
      </c>
      <c r="N117" s="177"/>
    </row>
    <row r="118" spans="1:14">
      <c r="A118" s="168">
        <v>21129706</v>
      </c>
      <c r="B118" s="167" t="s">
        <v>343</v>
      </c>
      <c r="C118" s="168" t="s">
        <v>193</v>
      </c>
      <c r="D118" s="168">
        <v>3.27</v>
      </c>
      <c r="E118" s="168" t="s">
        <v>194</v>
      </c>
      <c r="F118" s="168">
        <v>0.82223999999999997</v>
      </c>
      <c r="G118" s="168">
        <v>0.82389999999999997</v>
      </c>
      <c r="H118" s="168">
        <v>0</v>
      </c>
      <c r="I118" s="167" t="s">
        <v>344</v>
      </c>
      <c r="J118" s="168">
        <v>0.82389999999999997</v>
      </c>
      <c r="K118" s="168" t="s">
        <v>198</v>
      </c>
      <c r="L118" s="168"/>
      <c r="M118" s="168"/>
      <c r="N118" s="168">
        <v>-914.45</v>
      </c>
    </row>
    <row r="119" spans="1:14">
      <c r="A119" s="168"/>
      <c r="B119" s="166"/>
      <c r="C119" s="166"/>
      <c r="D119" s="166"/>
      <c r="E119" s="166"/>
      <c r="F119" s="166"/>
      <c r="G119" s="166"/>
      <c r="H119" s="166"/>
      <c r="I119" s="166"/>
      <c r="J119" s="168">
        <v>8855</v>
      </c>
      <c r="K119" s="184"/>
      <c r="L119" s="184"/>
      <c r="M119" s="184"/>
      <c r="N119" s="177"/>
    </row>
    <row r="120" spans="1:14">
      <c r="A120" s="170"/>
      <c r="B120" s="174"/>
      <c r="C120" s="174"/>
      <c r="D120" s="174"/>
      <c r="E120" s="174"/>
      <c r="F120" s="174"/>
      <c r="G120" s="174"/>
      <c r="H120" s="174"/>
      <c r="I120" s="174"/>
      <c r="J120" s="174"/>
      <c r="N120" s="184"/>
    </row>
    <row r="121" spans="1:14">
      <c r="A121" s="183"/>
      <c r="B121" s="183"/>
      <c r="C121" s="183"/>
      <c r="D121" s="183"/>
      <c r="E121" s="183"/>
      <c r="F121" s="183"/>
      <c r="G121" s="183"/>
      <c r="H121" s="183"/>
      <c r="I121" s="183"/>
      <c r="J121" s="183"/>
      <c r="N121" s="175"/>
    </row>
  </sheetData>
  <mergeCells count="1">
    <mergeCell ref="A121:J12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D5" sqref="D5"/>
    </sheetView>
  </sheetViews>
  <sheetFormatPr defaultRowHeight="12.75"/>
  <cols>
    <col min="1" max="1" width="12.85546875" customWidth="1"/>
    <col min="2" max="2" width="10" customWidth="1"/>
    <col min="3" max="3" width="13.85546875" customWidth="1"/>
    <col min="4" max="4" width="11.140625" customWidth="1"/>
    <col min="5" max="5" width="17.42578125" customWidth="1"/>
    <col min="6" max="6" width="14.28515625" customWidth="1"/>
    <col min="7" max="7" width="12.7109375" customWidth="1"/>
    <col min="8" max="8" width="7.140625" customWidth="1"/>
    <col min="9" max="10" width="12.7109375" customWidth="1"/>
    <col min="11" max="11" width="12.28515625" bestFit="1" customWidth="1"/>
    <col min="12" max="12" width="16.28515625" bestFit="1" customWidth="1"/>
    <col min="13" max="13" width="12.7109375" customWidth="1"/>
  </cols>
  <sheetData>
    <row r="1" spans="1:6">
      <c r="A1" s="162" t="s">
        <v>209</v>
      </c>
      <c r="B1" t="s">
        <v>285</v>
      </c>
    </row>
    <row r="3" spans="1:6">
      <c r="B3" s="162" t="s">
        <v>214</v>
      </c>
    </row>
    <row r="4" spans="1:6">
      <c r="A4" s="162" t="s">
        <v>287</v>
      </c>
      <c r="B4" t="s">
        <v>283</v>
      </c>
      <c r="C4" t="s">
        <v>284</v>
      </c>
      <c r="D4" t="s">
        <v>184</v>
      </c>
      <c r="E4" t="s">
        <v>295</v>
      </c>
      <c r="F4" t="s">
        <v>296</v>
      </c>
    </row>
    <row r="5" spans="1:6">
      <c r="A5" s="163" t="s">
        <v>201</v>
      </c>
      <c r="B5" s="164">
        <v>5</v>
      </c>
      <c r="C5" s="165">
        <v>-800.86</v>
      </c>
      <c r="D5" s="165">
        <v>-160.172</v>
      </c>
      <c r="E5" s="165">
        <v>293.8239145644888</v>
      </c>
      <c r="F5" s="165">
        <v>86332.492770000012</v>
      </c>
    </row>
    <row r="6" spans="1:6">
      <c r="A6" s="163" t="s">
        <v>194</v>
      </c>
      <c r="B6" s="164">
        <v>9</v>
      </c>
      <c r="C6" s="165">
        <v>-7045.98</v>
      </c>
      <c r="D6" s="165">
        <v>-782.88666666666666</v>
      </c>
      <c r="E6" s="165">
        <v>546.01543801434775</v>
      </c>
      <c r="F6" s="165">
        <v>298132.85855</v>
      </c>
    </row>
    <row r="7" spans="1:6">
      <c r="A7" s="163" t="s">
        <v>197</v>
      </c>
      <c r="B7" s="164">
        <v>7</v>
      </c>
      <c r="C7" s="165">
        <v>-3048.37</v>
      </c>
      <c r="D7" s="165">
        <v>-435.48142857142858</v>
      </c>
      <c r="E7" s="165">
        <v>260.01947282390034</v>
      </c>
      <c r="F7" s="165">
        <v>67610.126247619046</v>
      </c>
    </row>
    <row r="8" spans="1:6">
      <c r="A8" s="163" t="s">
        <v>199</v>
      </c>
      <c r="B8" s="164">
        <v>7</v>
      </c>
      <c r="C8" s="165">
        <v>-939.97999999999979</v>
      </c>
      <c r="D8" s="165">
        <v>-134.28285714285713</v>
      </c>
      <c r="E8" s="165">
        <v>660.21493055202075</v>
      </c>
      <c r="F8" s="165">
        <v>435883.75452380959</v>
      </c>
    </row>
    <row r="9" spans="1:6">
      <c r="A9" s="163" t="s">
        <v>202</v>
      </c>
      <c r="B9" s="164">
        <v>9</v>
      </c>
      <c r="C9" s="165">
        <v>-5461.8099999999995</v>
      </c>
      <c r="D9" s="165">
        <v>-606.86777777777775</v>
      </c>
      <c r="E9" s="165">
        <v>128.2807402513896</v>
      </c>
      <c r="F9" s="165">
        <v>16455.948319444491</v>
      </c>
    </row>
    <row r="10" spans="1:6">
      <c r="A10" s="163" t="s">
        <v>200</v>
      </c>
      <c r="B10" s="164">
        <v>4</v>
      </c>
      <c r="C10" s="165">
        <v>-2925.6</v>
      </c>
      <c r="D10" s="165">
        <v>-731.4</v>
      </c>
      <c r="E10" s="165">
        <v>424.71501653069271</v>
      </c>
      <c r="F10" s="165">
        <v>180382.84526666658</v>
      </c>
    </row>
    <row r="11" spans="1:6">
      <c r="A11" s="163" t="s">
        <v>213</v>
      </c>
      <c r="B11" s="164">
        <v>41</v>
      </c>
      <c r="C11" s="165">
        <v>-20222.599999999995</v>
      </c>
      <c r="D11" s="165">
        <v>-493.23414634146332</v>
      </c>
      <c r="E11" s="165">
        <v>474.40137547216085</v>
      </c>
      <c r="F11" s="165">
        <v>225056.66504987812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A60" sqref="A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5" sqref="E5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2</v>
      </c>
      <c r="N1" s="27">
        <f>0.7%*M1</f>
        <v>1.3999999999999999E-2</v>
      </c>
    </row>
    <row r="2" spans="1:15">
      <c r="A2" s="7" t="s">
        <v>140</v>
      </c>
      <c r="B2" s="25">
        <f>950</f>
        <v>950</v>
      </c>
      <c r="C2" s="25">
        <v>17.16</v>
      </c>
      <c r="D2" s="25">
        <v>0.49</v>
      </c>
      <c r="E2" s="39">
        <v>16.46</v>
      </c>
      <c r="F2" s="28">
        <f>ROUNDDOWN([APLICAÇÃO]/[PREÇO OPÇÃO], 0)</f>
        <v>1938</v>
      </c>
      <c r="G2" s="28">
        <f>[QTDE TMP] - MOD([QTDE TMP], 100)</f>
        <v>1900</v>
      </c>
      <c r="H2" s="25">
        <f>[EXERCÍCIO] + ([PREÇO OPÇÃO] * 2)</f>
        <v>18.14</v>
      </c>
      <c r="I2" s="27">
        <f>[TARGET 100%] / [PREÇO AÇÃO] - 1</f>
        <v>0.10206561360874855</v>
      </c>
      <c r="J2" s="25">
        <f>[PREÇO OPÇÃO] * [QTDE]</f>
        <v>931</v>
      </c>
      <c r="K2" s="25">
        <f>IF([PREÇO AÇÃO] &gt; [EXERCÍCIO], [PREÇO OPÇÃO] -([PREÇO AÇÃO] - [EXERCÍCIO]), [PREÇO OPÇÃO])</f>
        <v>0.49</v>
      </c>
    </row>
    <row r="3" spans="1:15">
      <c r="A3" s="7" t="s">
        <v>179</v>
      </c>
      <c r="B3" s="25">
        <f>950</f>
        <v>950</v>
      </c>
      <c r="C3" s="25">
        <v>16.16</v>
      </c>
      <c r="D3" s="25">
        <v>0.3</v>
      </c>
      <c r="E3" s="39">
        <v>15.8</v>
      </c>
      <c r="F3" s="28">
        <f>ROUNDDOWN([APLICAÇÃO]/[PREÇO OPÇÃO], 0)</f>
        <v>3166</v>
      </c>
      <c r="G3" s="28">
        <f>[QTDE TMP] - MOD([QTDE TMP], 100)</f>
        <v>3100</v>
      </c>
      <c r="H3" s="25">
        <f>[EXERCÍCIO] + ([PREÇO OPÇÃO] * 2)</f>
        <v>16.760000000000002</v>
      </c>
      <c r="I3" s="27">
        <f>[TARGET 100%] / [PREÇO AÇÃO] - 1</f>
        <v>6.0759493670886178E-2</v>
      </c>
      <c r="J3" s="25">
        <f>[PREÇO OPÇÃO] * [QTDE]</f>
        <v>930</v>
      </c>
      <c r="K3" s="25">
        <f>IF([PREÇO AÇÃO] &gt; [EXERCÍCIO], [PREÇO OPÇÃO] -([PREÇO AÇÃO] - [EXERCÍCIO]), [PREÇO OPÇÃO])</f>
        <v>0.3</v>
      </c>
    </row>
    <row r="4" spans="1:15">
      <c r="A4" s="7" t="s">
        <v>179</v>
      </c>
      <c r="B4" s="146">
        <f>950</f>
        <v>950</v>
      </c>
      <c r="C4" s="25">
        <v>27.17</v>
      </c>
      <c r="D4" s="25">
        <v>0.76</v>
      </c>
      <c r="E4" s="39">
        <v>26.89</v>
      </c>
      <c r="F4" s="147">
        <f>ROUNDDOWN([APLICAÇÃO]/[PREÇO OPÇÃO], 0)</f>
        <v>1250</v>
      </c>
      <c r="G4" s="147">
        <f>[QTDE TMP] - MOD([QTDE TMP], 100)</f>
        <v>1200</v>
      </c>
      <c r="H4" s="146">
        <f>[EXERCÍCIO] + ([PREÇO OPÇÃO] * 2)</f>
        <v>28.69</v>
      </c>
      <c r="I4" s="148">
        <f>[TARGET 100%] / [PREÇO AÇÃO] - 1</f>
        <v>6.6939382670137659E-2</v>
      </c>
      <c r="J4" s="149">
        <f>[PREÇO OPÇÃO] * [QTDE]</f>
        <v>912</v>
      </c>
      <c r="K4" s="149">
        <f>IF([PREÇO AÇÃO] &gt; [EXERCÍCIO], [PREÇO OPÇÃO] -([PREÇO AÇÃO] - [EXERCÍCIO]), [PREÇO OPÇÃO])</f>
        <v>0.76</v>
      </c>
      <c r="M4" s="7">
        <v>33.15</v>
      </c>
      <c r="N4" s="152">
        <f>M4*N7/M7</f>
        <v>4.9732104586369479</v>
      </c>
      <c r="O4" s="153">
        <f>N4/5*M1</f>
        <v>1.9892841834547792</v>
      </c>
    </row>
    <row r="5" spans="1:15">
      <c r="A5" s="145" t="s">
        <v>179</v>
      </c>
      <c r="B5" s="146">
        <f>950</f>
        <v>950</v>
      </c>
      <c r="C5" s="146">
        <v>31</v>
      </c>
      <c r="D5" s="146">
        <v>0.47</v>
      </c>
      <c r="E5" s="39">
        <v>30.67</v>
      </c>
      <c r="F5" s="147">
        <f>ROUNDDOWN([APLICAÇÃO]/[PREÇO OPÇÃO], 0)</f>
        <v>2021</v>
      </c>
      <c r="G5" s="147">
        <f>[QTDE TMP] - MOD([QTDE TMP], 100)</f>
        <v>2000</v>
      </c>
      <c r="H5" s="146">
        <f>[EXERCÍCIO] + ([PREÇO OPÇÃO] * 2)</f>
        <v>31.94</v>
      </c>
      <c r="I5" s="148">
        <f>[TARGET 100%] / [PREÇO AÇÃO] - 1</f>
        <v>4.1408542549722815E-2</v>
      </c>
      <c r="J5" s="149">
        <f>[PREÇO OPÇÃO] * [QTDE]</f>
        <v>940</v>
      </c>
      <c r="K5" s="149">
        <f>IF([PREÇO AÇÃO] &gt; [EXERCÍCIO], [PREÇO OPÇÃO] -([PREÇO AÇÃO] - [EXERCÍCIO]), [PREÇO OPÇÃO])</f>
        <v>0.47</v>
      </c>
      <c r="M5" s="7">
        <v>23.84</v>
      </c>
      <c r="N5" s="152">
        <f>M5*N7/M7</f>
        <v>3.5765109301328764</v>
      </c>
      <c r="O5" s="153">
        <f>N5/5*M1</f>
        <v>1.4306043720531505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7"/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B4" sqref="B4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112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OPÇÃO])-32</f>
        <v>86</v>
      </c>
      <c r="N2" s="25">
        <f>[QTDE]*[PERDA P/ OPÇÃO]-32</f>
        <v>-113.99999999999999</v>
      </c>
      <c r="O2" s="27">
        <f>[EXERC. VENDA]/[PREÇO AÇÃO]-1</f>
        <v>2.3226135783563029E-2</v>
      </c>
      <c r="P2" s="38">
        <f>[LUCRO*]/ABS([PERDA*])</f>
        <v>0.75438596491228083</v>
      </c>
    </row>
    <row r="3" spans="1:16">
      <c r="A3" s="7" t="s">
        <v>83</v>
      </c>
      <c r="B3" s="25">
        <v>500</v>
      </c>
      <c r="C3" s="25">
        <v>27.98</v>
      </c>
      <c r="D3" s="25">
        <v>26</v>
      </c>
      <c r="E3" s="25">
        <v>2.16</v>
      </c>
      <c r="F3" s="25">
        <v>27</v>
      </c>
      <c r="G3" s="25">
        <v>1.34</v>
      </c>
      <c r="H3" s="25">
        <f>([QTDE] * [PREÇO COMPRA]) + ([QTDE] * [PREÇO VENDA])</f>
        <v>9450</v>
      </c>
      <c r="I3" s="25">
        <f>[PREÇO VENDA]-[PREÇO COMPRA]</f>
        <v>0.82000000000000006</v>
      </c>
      <c r="J3" s="25">
        <f>(0.01 - [PREÇO COMPRA]) + ([PREÇO VENDA] - ([EXERC. COMPRA]-[EXERC. VENDA]+0.01))</f>
        <v>-0.17999999999999994</v>
      </c>
      <c r="K3" s="28">
        <f>ROUNDDOWN([RISCO]/ABS([PERDA P/ OPÇÃO]), 0)</f>
        <v>2777</v>
      </c>
      <c r="L3" s="28">
        <f>[QTDE TMP] - MOD([QTDE TMP], 100)</f>
        <v>2700</v>
      </c>
      <c r="M3" s="25">
        <f>([QTDE]*[LUCRO P/ OPÇÃO])-32</f>
        <v>2182</v>
      </c>
      <c r="N3" s="25">
        <f>[QTDE]*[PERDA P/ OPÇÃO]-32</f>
        <v>-517.99999999999977</v>
      </c>
      <c r="O3" s="27">
        <f>[EXERC. VENDA]/[PREÇO AÇÃO]-1</f>
        <v>-7.0764832022873536E-2</v>
      </c>
      <c r="P3" s="38">
        <f>[LUCRO*]/ABS([PERDA*])</f>
        <v>4.2123552123552139</v>
      </c>
    </row>
    <row r="4" spans="1:16">
      <c r="A4" s="102" t="s">
        <v>69</v>
      </c>
      <c r="B4" s="25">
        <v>40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([QTDE] * [PREÇO COMPRA]) + ([QTDE] * [PREÇO VENDA])</f>
        <v>840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ROUNDDOWN([RISCO]/ABS([PERDA P/ OPÇÃO]), 0)</f>
        <v>400</v>
      </c>
      <c r="L4" s="103">
        <f>[QTDE TMP] - MOD([QTDE TMP], 100)</f>
        <v>400</v>
      </c>
      <c r="M4" s="81">
        <f>([QTDE]*[LUCRO P/ OPÇÃO])-32</f>
        <v>328</v>
      </c>
      <c r="N4" s="81">
        <f>[QTDE]*[PERDA P/ OPÇÃO]-32</f>
        <v>-72</v>
      </c>
      <c r="O4" s="82">
        <f>[EXERC. VENDA]/[PREÇO AÇÃO]-1</f>
        <v>-0.12280701754385959</v>
      </c>
      <c r="P4" s="83">
        <f>[LUCRO*]/ABS([PERDA*])</f>
        <v>4.5555555555555554</v>
      </c>
    </row>
    <row r="5" spans="1:16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31" sqref="F31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1" width="11.140625" style="7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20</v>
      </c>
      <c r="C2" s="51">
        <v>27.98</v>
      </c>
      <c r="D2" s="51">
        <v>26</v>
      </c>
      <c r="E2" s="51">
        <v>27</v>
      </c>
      <c r="F2" s="51">
        <v>2.16</v>
      </c>
      <c r="G2" s="62">
        <v>200</v>
      </c>
      <c r="H2" s="52">
        <f>([RISCO])/[QTDE]</f>
        <v>0.1</v>
      </c>
      <c r="I2" s="52">
        <f>[PR Venda] * [QTDE]+[QTDE]*[PR Compra]</f>
        <v>684</v>
      </c>
      <c r="J2" s="63">
        <f>[PR Venda]-[PR Compra]</f>
        <v>0.89999999999999991</v>
      </c>
      <c r="K2" s="52">
        <f>(-[PERDA P/ OPÇÃO] + ([EX. COMPRA] - [EX. VENDA] + 0.01) - 0.01 -[PR Venda])*-1</f>
        <v>1.2600000000000002</v>
      </c>
      <c r="L2" s="52">
        <f>([QTDE]*[LUCRO UNI])-64</f>
        <v>115.99999999999997</v>
      </c>
      <c r="M2" s="52">
        <f>-[PERDA P/ OPÇÃO]*[QTDE]-64</f>
        <v>-84</v>
      </c>
      <c r="N2" s="53">
        <f>[EX. VENDA]/[PREÇO AÇÃO]-1</f>
        <v>-7.0764832022873536E-2</v>
      </c>
      <c r="O2" s="54">
        <f>[LUCRO]/ABS([PERDA])</f>
        <v>1.3809523809523807</v>
      </c>
    </row>
    <row r="3" spans="1:15">
      <c r="A3" s="145" t="s">
        <v>83</v>
      </c>
      <c r="B3" s="146">
        <v>185</v>
      </c>
      <c r="C3" s="51">
        <v>27.25</v>
      </c>
      <c r="D3" s="146">
        <v>27.18</v>
      </c>
      <c r="E3" s="146">
        <v>28.18</v>
      </c>
      <c r="F3" s="146">
        <v>1.21</v>
      </c>
      <c r="G3" s="150">
        <v>600</v>
      </c>
      <c r="H3" s="149">
        <f>([RISCO])/[QTDE]</f>
        <v>0.30833333333333335</v>
      </c>
      <c r="I3" s="149">
        <f>[PR Venda] * [QTDE]+[QTDE]*[PR Compra]</f>
        <v>1037</v>
      </c>
      <c r="J3" s="63">
        <f>[PR Venda]-[PR Compra]</f>
        <v>0.69166666666666665</v>
      </c>
      <c r="K3" s="149">
        <f>(-[PERDA P/ OPÇÃO] + ([EX. COMPRA] - [EX. VENDA] + 0.01) - 0.01 -[PR Venda])*-1</f>
        <v>0.51833333333333331</v>
      </c>
      <c r="L3" s="149">
        <f>([QTDE]*[LUCRO UNI])-64</f>
        <v>351</v>
      </c>
      <c r="M3" s="149">
        <f>-[PERDA P/ OPÇÃO]*[QTDE]-64</f>
        <v>-249</v>
      </c>
      <c r="N3" s="148">
        <f>[EX. VENDA]/[PREÇO AÇÃO]-1</f>
        <v>-2.5688073394495303E-3</v>
      </c>
      <c r="O3" s="151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82" t="s">
        <v>7</v>
      </c>
      <c r="B1" s="182"/>
      <c r="C1" s="182" t="s">
        <v>8</v>
      </c>
      <c r="D1" s="182"/>
      <c r="E1" s="181" t="s">
        <v>9</v>
      </c>
      <c r="F1" s="181" t="s">
        <v>4</v>
      </c>
      <c r="G1" s="181" t="s">
        <v>10</v>
      </c>
      <c r="H1" s="181" t="s">
        <v>11</v>
      </c>
      <c r="I1" s="181" t="s">
        <v>23</v>
      </c>
      <c r="K1" s="180" t="s">
        <v>147</v>
      </c>
      <c r="L1" s="180"/>
      <c r="M1" s="180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81"/>
      <c r="F2" s="181"/>
      <c r="G2" s="181"/>
      <c r="H2" s="181"/>
      <c r="I2" s="181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80" t="s">
        <v>26</v>
      </c>
      <c r="B4" s="180"/>
      <c r="C4" s="180"/>
      <c r="D4" s="180"/>
      <c r="E4" s="180"/>
      <c r="F4" s="180"/>
      <c r="K4" s="17">
        <v>498.62</v>
      </c>
      <c r="L4" s="17">
        <v>0</v>
      </c>
      <c r="M4" s="104">
        <v>0.02</v>
      </c>
    </row>
    <row r="5" spans="1:13">
      <c r="A5" s="180" t="s">
        <v>7</v>
      </c>
      <c r="B5" s="180"/>
      <c r="C5" s="180"/>
      <c r="D5" s="180" t="s">
        <v>8</v>
      </c>
      <c r="E5" s="180"/>
      <c r="F5" s="180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NOTAS</vt:lpstr>
      <vt:lpstr>NOTAS 80%</vt:lpstr>
      <vt:lpstr>IR</vt:lpstr>
      <vt:lpstr>VOLAT-TENDENCIA</vt:lpstr>
      <vt:lpstr>TRAVA BAIXA</vt:lpstr>
      <vt:lpstr>TRAVA BAIXA NEW</vt:lpstr>
      <vt:lpstr>BORBOLETA</vt:lpstr>
      <vt:lpstr>Plan1</vt:lpstr>
      <vt:lpstr>SETUP</vt:lpstr>
      <vt:lpstr>Plan2</vt:lpstr>
      <vt:lpstr>Plan4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2014-04-29T20:09:05Z</dcterms:modified>
</cp:coreProperties>
</file>