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12" i="9"/>
  <c r="K13"/>
  <c r="L12"/>
  <c r="L13"/>
  <c r="N12"/>
  <c r="N13"/>
  <c r="S12"/>
  <c r="S13"/>
  <c r="T12"/>
  <c r="T13"/>
  <c r="AC12"/>
  <c r="AC13"/>
  <c r="AD12"/>
  <c r="AD13"/>
  <c r="AI12"/>
  <c r="AJ12"/>
  <c r="AK12"/>
  <c r="K11"/>
  <c r="L11"/>
  <c r="N11"/>
  <c r="S11"/>
  <c r="T11"/>
  <c r="AC11"/>
  <c r="AD11"/>
  <c r="AI11"/>
  <c r="AJ11"/>
  <c r="AK11"/>
  <c r="K6"/>
  <c r="K7"/>
  <c r="K8"/>
  <c r="K9"/>
  <c r="K10"/>
  <c r="L6"/>
  <c r="L7"/>
  <c r="L8"/>
  <c r="L9"/>
  <c r="L10"/>
  <c r="N6"/>
  <c r="N7"/>
  <c r="N8"/>
  <c r="N9"/>
  <c r="N10"/>
  <c r="S6"/>
  <c r="S7"/>
  <c r="S8"/>
  <c r="S9"/>
  <c r="S10"/>
  <c r="T6"/>
  <c r="T7"/>
  <c r="T8"/>
  <c r="T9"/>
  <c r="T10"/>
  <c r="AC6"/>
  <c r="AC7"/>
  <c r="AC8"/>
  <c r="AC9"/>
  <c r="AC10"/>
  <c r="AD6"/>
  <c r="AD7"/>
  <c r="AD8"/>
  <c r="AD9"/>
  <c r="AD10"/>
  <c r="AI6"/>
  <c r="AI7"/>
  <c r="AI8"/>
  <c r="AI9"/>
  <c r="AI10"/>
  <c r="AJ6"/>
  <c r="AJ7"/>
  <c r="AJ8"/>
  <c r="AJ9"/>
  <c r="AJ10"/>
  <c r="AK6"/>
  <c r="AK7"/>
  <c r="AK8"/>
  <c r="AK9"/>
  <c r="AK10"/>
  <c r="J2" i="3"/>
  <c r="J3"/>
  <c r="J4"/>
  <c r="N2" i="4" l="1"/>
  <c r="M2"/>
  <c r="K4" i="9"/>
  <c r="K5"/>
  <c r="L4"/>
  <c r="L5"/>
  <c r="N4"/>
  <c r="N5"/>
  <c r="S4"/>
  <c r="S5"/>
  <c r="T4"/>
  <c r="T5"/>
  <c r="AC4"/>
  <c r="AC5"/>
  <c r="AD4"/>
  <c r="AD5"/>
  <c r="AF4"/>
  <c r="AI5"/>
  <c r="AJ5"/>
  <c r="AK5"/>
  <c r="A14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O12" l="1"/>
  <c r="R13"/>
  <c r="R12"/>
  <c r="Q13"/>
  <c r="Q12"/>
  <c r="P13"/>
  <c r="P12"/>
  <c r="O13"/>
  <c r="M11"/>
  <c r="M12"/>
  <c r="M13"/>
  <c r="O11"/>
  <c r="P11"/>
  <c r="Q11"/>
  <c r="R11"/>
  <c r="O6"/>
  <c r="O7"/>
  <c r="O8"/>
  <c r="O9"/>
  <c r="O10"/>
  <c r="P6"/>
  <c r="P7"/>
  <c r="P8"/>
  <c r="P9"/>
  <c r="P10"/>
  <c r="Q6"/>
  <c r="Q7"/>
  <c r="Q8"/>
  <c r="Q9"/>
  <c r="Q10"/>
  <c r="R6"/>
  <c r="R7"/>
  <c r="R8"/>
  <c r="R9"/>
  <c r="R10"/>
  <c r="M6"/>
  <c r="M10"/>
  <c r="M9"/>
  <c r="M8"/>
  <c r="M7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14"/>
  <c r="U12" l="1"/>
  <c r="U13"/>
  <c r="U11"/>
  <c r="U6"/>
  <c r="U7"/>
  <c r="U8"/>
  <c r="U9"/>
  <c r="U10"/>
  <c r="U4"/>
  <c r="U5"/>
  <c r="U2"/>
  <c r="W2" s="1"/>
  <c r="U3"/>
  <c r="V3" s="1"/>
  <c r="V2"/>
  <c r="W3"/>
  <c r="V13" l="1"/>
  <c r="W13"/>
  <c r="V12"/>
  <c r="W12"/>
  <c r="V11"/>
  <c r="W11"/>
  <c r="V10"/>
  <c r="W10"/>
  <c r="V9"/>
  <c r="W9"/>
  <c r="V8"/>
  <c r="W8"/>
  <c r="V7"/>
  <c r="W7"/>
  <c r="V6"/>
  <c r="W6"/>
  <c r="V5"/>
  <c r="W5"/>
  <c r="V4"/>
  <c r="W4"/>
  <c r="X3"/>
  <c r="Y3" s="1"/>
  <c r="X2"/>
  <c r="Y2" s="1"/>
  <c r="X12" l="1"/>
  <c r="Y12" s="1"/>
  <c r="X13"/>
  <c r="Y13" s="1"/>
  <c r="X11"/>
  <c r="X6"/>
  <c r="X7"/>
  <c r="X8"/>
  <c r="X9"/>
  <c r="X10"/>
  <c r="X4"/>
  <c r="Y4" s="1"/>
  <c r="X5"/>
  <c r="Y5" s="1"/>
  <c r="Y10" l="1"/>
  <c r="Y9"/>
  <c r="Y8"/>
  <c r="Y7"/>
  <c r="Y6"/>
  <c r="Y11"/>
  <c r="Z11"/>
  <c r="Z13"/>
  <c r="AK4"/>
  <c r="AK13" l="1"/>
  <c r="Z4"/>
  <c r="Z5"/>
  <c r="Z2"/>
  <c r="Z3"/>
  <c r="Z6"/>
  <c r="Z7"/>
  <c r="Z8"/>
  <c r="Z9"/>
  <c r="Z10"/>
  <c r="Z12"/>
  <c r="AA12" s="1"/>
  <c r="AB12" s="1"/>
  <c r="AA13" l="1"/>
  <c r="AB13" s="1"/>
  <c r="AF13" s="1"/>
  <c r="AA11"/>
  <c r="AB11" s="1"/>
  <c r="AF11" s="1"/>
  <c r="AA2"/>
  <c r="AA10"/>
  <c r="AB10" s="1"/>
  <c r="AA9"/>
  <c r="AB9" s="1"/>
  <c r="AA8"/>
  <c r="AB8" s="1"/>
  <c r="AA7"/>
  <c r="AB7" s="1"/>
  <c r="AF7" s="1"/>
  <c r="AA6"/>
  <c r="AB6" s="1"/>
  <c r="AF6" s="1"/>
  <c r="AA3"/>
  <c r="AB3" s="1"/>
  <c r="AF3" s="1"/>
  <c r="AA5"/>
  <c r="AB5" s="1"/>
  <c r="AF5" s="1"/>
  <c r="AA4"/>
  <c r="AB4" s="1"/>
  <c r="AF12" l="1"/>
  <c r="AF10"/>
  <c r="AF9"/>
  <c r="AF8"/>
  <c r="AE12"/>
  <c r="AG12" s="1"/>
  <c r="AE13"/>
  <c r="AG13" s="1"/>
  <c r="AE11"/>
  <c r="AG11" s="1"/>
  <c r="AH11" s="1"/>
  <c r="AE6"/>
  <c r="AG6" s="1"/>
  <c r="AH6" s="1"/>
  <c r="AE7"/>
  <c r="AG7" s="1"/>
  <c r="AE8"/>
  <c r="AG8" s="1"/>
  <c r="AE9"/>
  <c r="AG9" s="1"/>
  <c r="AE10"/>
  <c r="AG10" s="1"/>
  <c r="AE4"/>
  <c r="AG4" s="1"/>
  <c r="AH4" s="1"/>
  <c r="AE5"/>
  <c r="AG5" s="1"/>
  <c r="AB2"/>
  <c r="AE2"/>
  <c r="AG2" s="1"/>
  <c r="AH2" s="1"/>
  <c r="AE3"/>
  <c r="AG3" s="1"/>
  <c r="AH3" s="1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H13" i="9" l="1"/>
  <c r="AH5"/>
  <c r="AH10"/>
  <c r="AH9"/>
  <c r="AH8"/>
  <c r="AH7"/>
  <c r="AH12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I13" i="9" l="1"/>
  <c r="AJ13"/>
  <c r="AJ4"/>
  <c r="AI4"/>
  <c r="AH14"/>
  <c r="I4" i="4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H4"/>
  <c r="I4"/>
  <c r="F3"/>
  <c r="G3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<sst xmlns="http://schemas.openxmlformats.org/spreadsheetml/2006/main" count="525" uniqueCount="157">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</sst>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NumberFormat="1" applyFont="1"/>
    <xf numFmtId="164" fontId="14" fillId="0" borderId="0" xfId="1" applyFont="1" applyAlignment="1"/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14" totalsRowCount="1" headerRowDxfId="39" dataDxfId="38" totalsRowDxfId="37">
  <autoFilter ref="A1:AK13"/>
  <sortState ref="A2:AJ89">
    <sortCondition ref="E1:E89"/>
  </sortState>
  <tableColumns count="37">
    <tableColumn id="19" name="ID" totalsRowFunction="max" dataDxfId="76" totalsRowDxfId="36"/>
    <tableColumn id="36" name="U" dataDxfId="75" totalsRowDxfId="35"/>
    <tableColumn id="2" name="ATIVO" dataDxfId="74" totalsRowDxfId="34"/>
    <tableColumn id="3" name="T" dataDxfId="73" totalsRowDxfId="33"/>
    <tableColumn id="4" name="DATA" dataDxfId="72" totalsRowDxfId="32"/>
    <tableColumn id="5" name="QTDE" dataDxfId="71" totalsRowDxfId="31"/>
    <tableColumn id="6" name="PREÇO" dataDxfId="70" totalsRowDxfId="30"/>
    <tableColumn id="37" name="PARCIAL" dataDxfId="69" totalsRowDxfId="29"/>
    <tableColumn id="40" name="AJUSTE" dataDxfId="68" totalsRowDxfId="28" dataCellStyle="Moeda"/>
    <tableColumn id="7" name="[D/N]" dataDxfId="67" totalsRowDxfId="27"/>
    <tableColumn id="34" name="DATA DE LIQUIDAÇÃO" dataDxfId="66" totalsRowDxfId="26">
      <calculatedColumnFormula>WORKDAY(NOTAS_80[[#This Row],[DATA]],1,0)</calculatedColumnFormula>
    </tableColumn>
    <tableColumn id="31" name="DATA BASE" dataDxfId="65" totalsRowDxfId="25">
      <calculatedColumnFormula>EOMONTH(NOTAS_80[[#This Row],[DATA DE LIQUIDAÇÃO]],0)</calculatedColumnFormula>
    </tableColumn>
    <tableColumn id="21" name="PAR" dataDxfId="64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63" totalsRowDxfId="23">
      <calculatedColumnFormula>[QTDE]*[PREÇO]</calculatedColumnFormula>
    </tableColumn>
    <tableColumn id="9" name="VALOR LÍQUIDO DAS OPERAÇÕES" dataDxfId="62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61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60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59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58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57" totalsRowDxfId="17">
      <calculatedColumnFormula>TRUNC([CORR BOV] * 20% * IF([PARCIAL] &gt; 0, [QTDE] / [PARCIAL], 1),2)</calculatedColumnFormula>
    </tableColumn>
    <tableColumn id="12" name="CORRETAGEM" dataDxfId="56" totalsRowDxfId="16">
      <calculatedColumnFormula>SUMPRODUCT(N([DATA]=NOTAS_80[[#This Row],[DATA]]),N([ID]&lt;=NOTAS_80[[#This Row],[ID]]), [CORR])</calculatedColumnFormula>
    </tableColumn>
    <tableColumn id="13" name="ISS" dataDxfId="55" totalsRowDxfId="15">
      <calculatedColumnFormula>TRUNC([CORRETAGEM]*SETUP!$F$3,2)</calculatedColumnFormula>
    </tableColumn>
    <tableColumn id="15" name="OUTRAS BOVESPA" dataDxfId="54" totalsRowDxfId="14">
      <calculatedColumnFormula>ROUND([CORRETAGEM]*SETUP!$G$3,2)</calculatedColumnFormula>
    </tableColumn>
    <tableColumn id="16" name="LÍQUIDO BASE" dataDxfId="53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52" totalsRowDxfId="12">
      <calculatedColumnFormula>IF(AND(['[D/N']]="D",    [T]="CV",    [LÍQUIDO BASE] &gt; 0),    TRUNC([LÍQUIDO BASE]*0.01, 2),    0)</calculatedColumnFormula>
    </tableColumn>
    <tableColumn id="35" name="LÍQUIDO" dataDxfId="51" totalsRowDxfId="11">
      <calculatedColumnFormula>IF([PREÇO] &gt; 0,    [LÍQUIDO BASE]-SUMPRODUCT(N([DATA]=NOTAS_80[[#This Row],[DATA]]),    [IRRF FONTE]),    0)</calculatedColumnFormula>
    </tableColumn>
    <tableColumn id="17" name="VALOR OP" dataDxfId="50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49" totalsRowDxfId="9">
      <calculatedColumnFormula>IF([T] = "VC", ABS([VALOR OP]) / [QTDE], [VALOR OP]/[QTDE])</calculatedColumnFormula>
    </tableColumn>
    <tableColumn id="20" name="IRRF" totalsRowFunction="sum" dataDxfId="48" totalsRowDxfId="8">
      <calculatedColumnFormula>TRUNC(IF(OR([T]="CV",[T]="VV"),     N2*SETUP!$H$3,     0),2)</calculatedColumnFormula>
    </tableColumn>
    <tableColumn id="24" name="SALDO" dataDxfId="47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46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45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44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43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42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41" totalsRowDxfId="1">
      <calculatedColumnFormula>IF([U] = "U", SUMPRODUCT(N([DATA BASE]=NOTAS_80[[#This Row],[DATA BASE]]), N(['[D/N']] = "D"),    [LUCRO P/ OP]), 0)</calculatedColumnFormula>
    </tableColumn>
    <tableColumn id="30" name="IRRF DT" dataDxfId="40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71" dataDxfId="270">
  <autoFilter ref="A1:N5"/>
  <tableColumns count="14">
    <tableColumn id="1" name="DATA" totalsRowLabel="Total" dataDxfId="269" totalsRowDxfId="268"/>
    <tableColumn id="2" name="LUCRO [N]" dataDxfId="267" totalsRowDxfId="266" dataCellStyle="Moeda"/>
    <tableColumn id="3" name="DEDUÇÃO [N]" dataDxfId="265" totalsRowDxfId="264" dataCellStyle="Moeda"/>
    <tableColumn id="8" name="IRRF [N]" dataDxfId="263" totalsRowDxfId="262" dataCellStyle="Moeda"/>
    <tableColumn id="4" name="LUCRO [D]" dataDxfId="261" totalsRowDxfId="260" dataCellStyle="Moeda"/>
    <tableColumn id="5" name="DEDUÇÃO [D]" dataDxfId="259" totalsRowDxfId="258" dataCellStyle="Moeda"/>
    <tableColumn id="9" name="IRRF [D]" dataDxfId="257" totalsRowDxfId="256" dataCellStyle="Moeda"/>
    <tableColumn id="6" name="ACC [N]" dataDxfId="255" totalsRowDxfId="254" dataCellStyle="Moeda">
      <calculatedColumnFormula>IF([LUCRO '[N']] + [DEDUÇÃO '[N']] &gt; 0, 0, [LUCRO '[N']] + [DEDUÇÃO '[N']])</calculatedColumnFormula>
    </tableColumn>
    <tableColumn id="12" name="ACC [D]" dataDxfId="253" totalsRowDxfId="252" dataCellStyle="Moeda">
      <calculatedColumnFormula>IF([LUCRO '[D']] + [DEDUÇÃO '[D']] &gt; 0, 0, [LUCRO '[D']] + [DEDUÇÃO '[D']])</calculatedColumnFormula>
    </tableColumn>
    <tableColumn id="7" name="IR DEVIDO [N]" dataDxfId="251" totalsRowDxfId="250" dataCellStyle="Moeda">
      <calculatedColumnFormula>IF([ACC '[N']] = 0, ROUND(([LUCRO '[N']] + [DEDUÇÃO '[N']]) * 15%, 2) - [IRRF '[N']], 0)</calculatedColumnFormula>
    </tableColumn>
    <tableColumn id="10" name="IR DEVIDO [D]" dataDxfId="249" totalsRowDxfId="248" dataCellStyle="Moeda">
      <calculatedColumnFormula>IF([ACC '[D']] = 0, ROUND(([LUCRO '[D']] + [DEDUÇÃO '[D']]) * 20%, 2) - [IRRF '[D']], 0)</calculatedColumnFormula>
    </tableColumn>
    <tableColumn id="14" name="IRRF" dataDxfId="247" totalsRowDxfId="246" dataCellStyle="Moeda">
      <calculatedColumnFormula>[IRRF '[N']] + [IRRF '[D']]</calculatedColumnFormula>
    </tableColumn>
    <tableColumn id="11" name="IR DEVIDO" dataDxfId="245" totalsRowDxfId="244" dataCellStyle="Moeda">
      <calculatedColumnFormula>[IR DEVIDO '[N']] + [IR DEVIDO '[D']]</calculatedColumnFormula>
    </tableColumn>
    <tableColumn id="13" name="LUCRO TOTAL" totalsRowFunction="sum" dataDxfId="243" totalsRowDxfId="242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41" dataDxfId="240">
  <autoFilter ref="A1:K4"/>
  <tableColumns count="11">
    <tableColumn id="1" name="PAPEL" totalsRowLabel="Total" dataDxfId="239" totalsRowDxfId="104"/>
    <tableColumn id="10" name="APLICAÇÃO" dataDxfId="238" totalsRowDxfId="103" dataCellStyle="Moeda"/>
    <tableColumn id="2" name="EXERCÍCIO" dataDxfId="237" totalsRowDxfId="102" dataCellStyle="Moeda"/>
    <tableColumn id="3" name="PREÇO OPÇÃO" dataDxfId="236" totalsRowDxfId="101" dataCellStyle="Moeda"/>
    <tableColumn id="4" name="PREÇO AÇÃO" dataDxfId="235" totalsRowDxfId="100" dataCellStyle="Moeda"/>
    <tableColumn id="11" name="QTDE TMP" dataDxfId="234" totalsRowDxfId="99" dataCellStyle="Moeda">
      <calculatedColumnFormula>ROUNDDOWN([APLICAÇÃO]/[PREÇO OPÇÃO], 0)</calculatedColumnFormula>
    </tableColumn>
    <tableColumn id="14" name="QTDE" dataDxfId="233" totalsRowDxfId="98" dataCellStyle="Moeda">
      <calculatedColumnFormula>[QTDE TMP] - MOD([QTDE TMP], 100)</calculatedColumnFormula>
    </tableColumn>
    <tableColumn id="5" name="TARGET 100%" dataDxfId="232" totalsRowDxfId="97" dataCellStyle="Moeda">
      <calculatedColumnFormula>[EXERCÍCIO] + ([PREÇO OPÇÃO] * 2)</calculatedColumnFormula>
    </tableColumn>
    <tableColumn id="6" name="ALTA 100%" dataDxfId="231" totalsRowDxfId="96" dataCellStyle="Porcentagem">
      <calculatedColumnFormula>[TARGET 100%] / [PREÇO AÇÃO] - 1</calculatedColumnFormula>
    </tableColumn>
    <tableColumn id="12" name="LUCRO* 100%" dataDxfId="93" totalsRowDxfId="95" dataCellStyle="Moeda">
      <calculatedColumnFormula>[PREÇO OPÇÃO] * [QTDE]</calculatedColumnFormula>
    </tableColumn>
    <tableColumn id="7" name="GORDURA" dataDxfId="230" totalsRowDxfId="94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229" dataDxfId="228">
  <autoFilter ref="A1:P4"/>
  <tableColumns count="16">
    <tableColumn id="1" name="PAPEL" totalsRowLabel="Total" dataDxfId="227" totalsRowDxfId="92"/>
    <tableColumn id="10" name="RISCO" dataDxfId="226" totalsRowDxfId="91" dataCellStyle="Moeda"/>
    <tableColumn id="20" name="PREÇO AÇÃO" dataDxfId="225" totalsRowDxfId="90" dataCellStyle="Moeda"/>
    <tableColumn id="7" name="EXERC. VENDA" dataDxfId="224" totalsRowDxfId="89" dataCellStyle="Moeda"/>
    <tableColumn id="8" name="PREÇO VENDA" dataDxfId="223" totalsRowDxfId="88" dataCellStyle="Moeda"/>
    <tableColumn id="2" name="EXERC. COMPRA" dataDxfId="222" totalsRowDxfId="87" dataCellStyle="Moeda"/>
    <tableColumn id="3" name="PREÇO COMPRA" dataDxfId="221" totalsRowDxfId="86" dataCellStyle="Moeda"/>
    <tableColumn id="4" name="VOLUME" dataDxfId="220" totalsRowDxfId="85" dataCellStyle="Moeda">
      <calculatedColumnFormula>([QTDE] * [PREÇO COMPRA]) + ([QTDE] * [PREÇO VENDA])</calculatedColumnFormula>
    </tableColumn>
    <tableColumn id="18" name="LUCRO P/ OPÇÃO" dataDxfId="219" totalsRowDxfId="84" dataCellStyle="Moeda">
      <calculatedColumnFormula>[PREÇO VENDA]-[PREÇO COMPRA]</calculatedColumnFormula>
    </tableColumn>
    <tableColumn id="19" name="PERDA P/ OPÇÃO" dataDxfId="218" totalsRowDxfId="83" dataCellStyle="Moeda">
      <calculatedColumnFormula>(0.01 - [PREÇO COMPRA]) + ([PREÇO VENDA] - ([EXERC. COMPRA]-[EXERC. VENDA]+0.01))</calculatedColumnFormula>
    </tableColumn>
    <tableColumn id="11" name="QTDE TMP" dataDxfId="217" totalsRowDxfId="82" dataCellStyle="Moeda">
      <calculatedColumnFormula>ROUNDDOWN([RISCO]/ABS([PERDA P/ OPÇÃO]), 0)</calculatedColumnFormula>
    </tableColumn>
    <tableColumn id="14" name="QTDE" dataDxfId="216" totalsRowDxfId="81" dataCellStyle="Moeda">
      <calculatedColumnFormula>[QTDE TMP] - MOD([QTDE TMP], 100)</calculatedColumnFormula>
    </tableColumn>
    <tableColumn id="5" name="LUCRO*" dataDxfId="215" totalsRowDxfId="80" dataCellStyle="Moeda">
      <calculatedColumnFormula>([QTDE]*[LUCRO P/ OPÇÃO])</calculatedColumnFormula>
    </tableColumn>
    <tableColumn id="6" name="PERDA*" dataDxfId="214" totalsRowDxfId="79" dataCellStyle="Moeda">
      <calculatedColumnFormula>[QTDE]*[PERDA P/ OPÇÃO]</calculatedColumnFormula>
    </tableColumn>
    <tableColumn id="21" name="% QUEDA" dataDxfId="213" totalsRowDxfId="78" dataCellStyle="Porcentagem">
      <calculatedColumnFormula>[EXERC. VENDA]/[PREÇO AÇÃO]-1</calculatedColumnFormula>
    </tableColumn>
    <tableColumn id="22" name="RISCO : 1" dataDxfId="212" totalsRowDxfId="7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211" dataDxfId="210">
  <autoFilter ref="A1:U2"/>
  <tableColumns count="21">
    <tableColumn id="1" name="PAPEL" totalsRowLabel="Total" dataDxfId="209" totalsRowDxfId="208"/>
    <tableColumn id="10" name="BASE" dataDxfId="207" totalsRowDxfId="206" dataCellStyle="Moeda"/>
    <tableColumn id="20" name="PR. AÇÃO" dataDxfId="205" totalsRowDxfId="204" dataCellStyle="Moeda"/>
    <tableColumn id="2" name="EX. CP 1" dataDxfId="203" totalsRowDxfId="202" dataCellStyle="Moeda"/>
    <tableColumn id="3" name="PR CP 1" dataDxfId="201" totalsRowDxfId="200" dataCellStyle="Moeda"/>
    <tableColumn id="12" name="EX. VD" dataDxfId="199" totalsRowDxfId="198" dataCellStyle="Moeda"/>
    <tableColumn id="13" name="PR VD" dataDxfId="197" totalsRowDxfId="196" dataCellStyle="Moeda"/>
    <tableColumn id="8" name="EX. CP 2" dataDxfId="195" totalsRowDxfId="194" dataCellStyle="Moeda"/>
    <tableColumn id="7" name="PR CP 2" dataDxfId="193" totalsRowDxfId="192" dataCellStyle="Moeda"/>
    <tableColumn id="18" name="LUCRO UNI." dataDxfId="191" totalsRowDxfId="190" dataCellStyle="Moeda">
      <calculatedColumnFormula>(([PR VD] - 0.01) * 2) + (([EX. VD] - [EX. CP 1] + 0.01) - [PR CP 1]) + (0.01 - [PR CP 2])</calculatedColumnFormula>
    </tableColumn>
    <tableColumn id="19" name="PERDA 1" dataDxfId="189" totalsRowDxfId="188" dataCellStyle="Moeda">
      <calculatedColumnFormula>(0.01 - [PR CP 1]) + (([PR VD] - 0.01) * 2) + (0.01 - [PR CP 2])</calculatedColumnFormula>
    </tableColumn>
    <tableColumn id="15" name="PERDA 2" dataDxfId="187" totalsRowDxfId="186" dataCellStyle="Moeda">
      <calculatedColumnFormula>(([EX. CP 2] - [EX. CP 1] + 0.01) - [PR CP 1]) + (([PR VD] - ([EX. CP 2] - [EX. VD] + 0.01)) * 2) + (0.01 - [PR CP 2])</calculatedColumnFormula>
    </tableColumn>
    <tableColumn id="16" name="PERDA" dataDxfId="185" totalsRowDxfId="184" dataCellStyle="Moeda">
      <calculatedColumnFormula>IF([PERDA 1] &gt; [PERDA 2], [PERDA 2], [PERDA 1])</calculatedColumnFormula>
    </tableColumn>
    <tableColumn id="11" name="QTDE TMP" dataDxfId="183" totalsRowDxfId="182" dataCellStyle="Moeda">
      <calculatedColumnFormula>ROUNDDOWN([BASE]/ABS([PERDA]), 0)</calculatedColumnFormula>
    </tableColumn>
    <tableColumn id="14" name="QTDE" dataDxfId="181" totalsRowDxfId="180" dataCellStyle="Moeda">
      <calculatedColumnFormula>[QTDE TMP] - MOD([QTDE TMP], 100)</calculatedColumnFormula>
    </tableColumn>
    <tableColumn id="4" name="QTDE VD" dataDxfId="179" totalsRowDxfId="178" dataCellStyle="Moeda">
      <calculatedColumnFormula>Tabela245[[#This Row],[QTDE]]*2</calculatedColumnFormula>
    </tableColumn>
    <tableColumn id="17" name="VOLUME" dataDxfId="177" totalsRowDxfId="176" dataCellStyle="Moeda">
      <calculatedColumnFormula>([QTDE]*[PR CP 1] + [QTDE]*[PR CP 2])+[QTDE]*[PR VD] * 2</calculatedColumnFormula>
    </tableColumn>
    <tableColumn id="5" name="LUCRO" dataDxfId="175" totalsRowDxfId="174" dataCellStyle="Moeda">
      <calculatedColumnFormula>([QTDE]*[LUCRO UNI.])</calculatedColumnFormula>
    </tableColumn>
    <tableColumn id="6" name="PERDA2" dataDxfId="173" totalsRowDxfId="172" dataCellStyle="Moeda">
      <calculatedColumnFormula>[QTDE]*[PERDA]</calculatedColumnFormula>
    </tableColumn>
    <tableColumn id="21" name="% VAR" dataDxfId="171" totalsRowDxfId="170" dataCellStyle="Porcentagem">
      <calculatedColumnFormula>[EX. VD] / [PR. AÇÃO] - 1</calculatedColumnFormula>
    </tableColumn>
    <tableColumn id="22" name="RISCO : 1" dataDxfId="169" totalsRowDxfId="168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67" dataDxfId="166">
  <autoFilter ref="A1:O5"/>
  <tableColumns count="15">
    <tableColumn id="1" name="PAPEL" totalsRowLabel="Total" dataDxfId="165" totalsRowDxfId="164"/>
    <tableColumn id="10" name="RISCO" dataDxfId="163" totalsRowDxfId="162" dataCellStyle="Moeda"/>
    <tableColumn id="20" name="PREÇO AÇÃO" dataDxfId="161" totalsRowDxfId="160" dataCellStyle="Moeda"/>
    <tableColumn id="7" name="EX. VENDA" dataDxfId="159" totalsRowDxfId="158" dataCellStyle="Moeda"/>
    <tableColumn id="2" name="EX. COMPRA" dataDxfId="157" totalsRowDxfId="156" dataCellStyle="Moeda"/>
    <tableColumn id="3" name="PR COMPRA" dataDxfId="155" totalsRowDxfId="154" dataCellStyle="Moeda"/>
    <tableColumn id="16" name="QTDE" dataDxfId="153" totalsRowDxfId="152" dataCellStyle="Moeda"/>
    <tableColumn id="13" name="PERDA P/ OPÇÃO" dataDxfId="151" totalsRowDxfId="150" dataCellStyle="Moeda">
      <calculatedColumnFormula>-[RISCO]/[QTDE]</calculatedColumnFormula>
    </tableColumn>
    <tableColumn id="14" name="CUSTO CP" dataDxfId="149" totalsRowDxfId="148" dataCellStyle="Moeda">
      <calculatedColumnFormula>[PR COMPRA] * [QTDE]</calculatedColumnFormula>
    </tableColumn>
    <tableColumn id="15" name="LUCRO UNI" dataDxfId="147" totalsRowDxfId="146">
      <calculatedColumnFormula>[PR VENDA]-[PR COMPRA]</calculatedColumnFormula>
    </tableColumn>
    <tableColumn id="8" name="PR VENDA" dataDxfId="145" totalsRowDxfId="144" dataCellStyle="Moeda">
      <calculatedColumnFormula>[PERDA P/ OPÇÃO] + ([EX. COMPRA] - [EX. VENDA] + 0.01) - 0.01 + [PR COMPRA]</calculatedColumnFormula>
    </tableColumn>
    <tableColumn id="5" name="LUCRO*" dataDxfId="143" totalsRowDxfId="142" dataCellStyle="Moeda">
      <calculatedColumnFormula>([QTDE]*[LUCRO UNI])</calculatedColumnFormula>
    </tableColumn>
    <tableColumn id="6" name="PERDA*" dataDxfId="141" totalsRowDxfId="140" dataCellStyle="Moeda">
      <calculatedColumnFormula>[PERDA P/ OPÇÃO]*[QTDE]</calculatedColumnFormula>
    </tableColumn>
    <tableColumn id="21" name="% QUEDA" dataDxfId="139" totalsRowDxfId="138" dataCellStyle="Porcentagem">
      <calculatedColumnFormula>[EX. VENDA]/[PREÇO AÇÃO]-1</calculatedColumnFormula>
    </tableColumn>
    <tableColumn id="22" name="RISCO : 1" dataDxfId="137" totalsRowDxfId="1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135" dataDxfId="134">
  <autoFilter ref="A1:O5"/>
  <tableColumns count="15">
    <tableColumn id="1" name="PAPEL" totalsRowLabel="Total" dataDxfId="133" totalsRowDxfId="132"/>
    <tableColumn id="10" name="RISCO" dataDxfId="131" totalsRowDxfId="130" dataCellStyle="Moeda"/>
    <tableColumn id="20" name="PREÇO AÇÃO" dataDxfId="129" totalsRowDxfId="128" dataCellStyle="Moeda"/>
    <tableColumn id="7" name="EX. VENDA" dataDxfId="127" totalsRowDxfId="126" dataCellStyle="Moeda"/>
    <tableColumn id="2" name="EX. COMPRA" dataDxfId="125" totalsRowDxfId="124" dataCellStyle="Moeda"/>
    <tableColumn id="9" name="PR VENDA" totalsRowDxfId="123"/>
    <tableColumn id="3" name="PR COMPRA" dataDxfId="122" totalsRowDxfId="121" dataCellStyle="Moeda"/>
    <tableColumn id="16" name="QTDE" dataDxfId="120" totalsRowDxfId="119" dataCellStyle="Moeda"/>
    <tableColumn id="13" name="PERDA P/ OPÇÃO" dataDxfId="118" totalsRowDxfId="117" dataCellStyle="Moeda">
      <calculatedColumnFormula>([PR VENDA] - ([EX. COMPRA] - [EX. VENDA] + 0.01)) + (0.01 - ([PR COMPRA]))</calculatedColumnFormula>
    </tableColumn>
    <tableColumn id="14" name="VOLUME" dataDxfId="116" totalsRowDxfId="115" dataCellStyle="Moeda">
      <calculatedColumnFormula>[PR COMPRA] * [QTDE]</calculatedColumnFormula>
    </tableColumn>
    <tableColumn id="15" name="LUCRO UNI" dataDxfId="114" totalsRowDxfId="113">
      <calculatedColumnFormula>[PR VENDA]-[PR COMPRA]</calculatedColumnFormula>
    </tableColumn>
    <tableColumn id="5" name="LUCRO*" dataDxfId="112" totalsRowDxfId="111" dataCellStyle="Moeda">
      <calculatedColumnFormula>([QTDE]*[LUCRO UNI])</calculatedColumnFormula>
    </tableColumn>
    <tableColumn id="6" name="PERDA*" dataDxfId="110" totalsRowDxfId="109" dataCellStyle="Moeda">
      <calculatedColumnFormula>[PERDA P/ OPÇÃO]*[QTDE]</calculatedColumnFormula>
    </tableColumn>
    <tableColumn id="21" name="% QUEDA" dataDxfId="108" totalsRowDxfId="107" dataCellStyle="Porcentagem">
      <calculatedColumnFormula>[EX. VENDA]/[PREÇO AÇÃO]-1</calculatedColumnFormula>
    </tableColumn>
    <tableColumn id="22" name="RISCO : 1" dataDxfId="106" totalsRowDxfId="10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14"/>
  <sheetViews>
    <sheetView tabSelected="1" workbookViewId="0">
      <pane xSplit="10" ySplit="1" topLeftCell="U2" activePane="bottomRight" state="frozen"/>
      <selection pane="topRight" activeCell="K1" sqref="K1"/>
      <selection pane="bottomLeft" activeCell="A2" sqref="A2"/>
      <selection pane="bottomRight" activeCell="I25" sqref="I25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2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2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5</v>
      </c>
      <c r="B4" s="113" t="s">
        <v>49</v>
      </c>
      <c r="C4" s="113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4">
        <f>WORKDAY(NOTAS_80[[#This Row],[DATA]],1,0)</f>
        <v>41150</v>
      </c>
      <c r="L4" s="115">
        <f>EOMONTH(NOTAS_80[[#This Row],[DATA DE LIQUIDAÇÃO]],0)</f>
        <v>41152</v>
      </c>
      <c r="M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4" s="110">
        <f>[QTDE]*[PREÇO]</f>
        <v>120</v>
      </c>
      <c r="O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0">
        <f>TRUNC([CORR BOV] * 20% * IF([PARCIAL] &gt; 0, [QTDE] / [PARCIAL], 1),2)</f>
        <v>0.54</v>
      </c>
      <c r="U4" s="110">
        <f>SUMPRODUCT(N([DATA]=NOTAS_80[[#This Row],[DATA]]),N([ID]&lt;=NOTAS_80[[#This Row],[ID]]), [CORR])</f>
        <v>0.54</v>
      </c>
      <c r="V4" s="110">
        <f>TRUNC([CORRETAGEM]*SETUP!$F$3,2)</f>
        <v>0.01</v>
      </c>
      <c r="W4" s="110">
        <f>ROUND([CORRETAGEM]*SETUP!$G$3,2)</f>
        <v>0.02</v>
      </c>
      <c r="X4" s="110">
        <f>[VALOR LÍQUIDO DAS OPERAÇÕES]-[TAXA DE LIQUIDAÇÃO]-[EMOLUMENTOS]-[TAXA DE REGISTRO]-[CORRETAGEM]-[ISS]-IF(['[D/N']]="D",    0,    [OUTRAS BOVESPA]) - [AJUSTE]</f>
        <v>-120.72000000000001</v>
      </c>
      <c r="Y4" s="110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6">
        <f>[LÍQUIDO]-SUMPRODUCT(N([DATA]=NOTAS_80[[#This Row],[DATA]]),N([ID]=(NOTAS_80[[#This Row],[ID]]-1)),[LÍQUIDO])</f>
        <v>-120.72000000000001</v>
      </c>
      <c r="AB4" s="110">
        <f>IF([T] = "VC", ABS([VALOR OP]) / [QTDE], [VALOR OP]/[QTDE])</f>
        <v>-0.40240000000000004</v>
      </c>
      <c r="AC4" s="110">
        <f>TRUNC(IF(OR([T]="CV",[T]="VV"),     N4*SETUP!$H$3,     0),2)</f>
        <v>0</v>
      </c>
      <c r="AD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0">
        <f>IF([LUCRO TMP] &lt;&gt; 0, [LUCRO TMP] - SUMPRODUCT(N([ATIVO]=NOTAS_80[[#This Row],[ATIVO]]),N(['[D/N']]="N"),N([ID]&lt;NOTAS_80[[#This Row],[ID]]),N([PAR]=NOTAS_80[[#This Row],[PAR]]), [LUCRO TMP]), 0)</f>
        <v>0</v>
      </c>
      <c r="AI4" s="110">
        <f>IF([U] = "U", SUMPRODUCT(N([ID]&lt;=NOTAS_80[[#This Row],[ID]]),N([DATA BASE]=NOTAS_80[[#This Row],[DATA BASE]]), N(['[D/N']] = "N"),    [LUCRO P/ OP]), 0)</f>
        <v>-61.850000000000009</v>
      </c>
      <c r="AJ4" s="110">
        <f>IF([U] = "U", SUMPRODUCT(N([DATA BASE]=NOTAS_80[[#This Row],[DATA BASE]]), N(['[D/N']] = "D"),    [LUCRO P/ OP]), 0)</f>
        <v>0</v>
      </c>
      <c r="AK4" s="110">
        <f>IF([U] = "U", SUMPRODUCT(N([DATA BASE]=NOTAS_80[[#This Row],[DATA BASE]]), N(['[D/N']] = "D"),    [IRRF FONTE]), 0)</f>
        <v>0</v>
      </c>
    </row>
    <row r="5" spans="1:37">
      <c r="A5" s="13">
        <v>6</v>
      </c>
      <c r="B5" s="120"/>
      <c r="C5" s="113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1">
        <f>WORKDAY(NOTAS_80[[#This Row],[DATA]],1,0)</f>
        <v>41151</v>
      </c>
      <c r="L5" s="123">
        <f>EOMONTH(NOTAS_80[[#This Row],[DATA DE LIQUIDAÇÃO]],0)</f>
        <v>41152</v>
      </c>
      <c r="M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5" s="122">
        <f>[QTDE]*[PREÇO]</f>
        <v>122.99999999999999</v>
      </c>
      <c r="O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2">
        <f>TRUNC([CORR BOV] * 20% * IF([PARCIAL] &gt; 0, [QTDE] / [PARCIAL], 1),2)</f>
        <v>0.54</v>
      </c>
      <c r="U5" s="122">
        <f>SUMPRODUCT(N([DATA]=NOTAS_80[[#This Row],[DATA]]),N([ID]&lt;=NOTAS_80[[#This Row],[ID]]), [CORR])</f>
        <v>0.54</v>
      </c>
      <c r="V5" s="122">
        <f>TRUNC([CORRETAGEM]*SETUP!$F$3,2)</f>
        <v>0.01</v>
      </c>
      <c r="W5" s="122">
        <f>ROUND([CORRETAGEM]*SETUP!$G$3,2)</f>
        <v>0.02</v>
      </c>
      <c r="X5" s="122">
        <f>[VALOR LÍQUIDO DAS OPERAÇÕES]-[TAXA DE LIQUIDAÇÃO]-[EMOLUMENTOS]-[TAXA DE REGISTRO]-[CORRETAGEM]-[ISS]-IF(['[D/N']]="D",    0,    [OUTRAS BOVESPA]) - [AJUSTE]</f>
        <v>122.27999999999997</v>
      </c>
      <c r="Y5" s="122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4">
        <f>[LÍQUIDO]-SUMPRODUCT(N([DATA]=NOTAS_80[[#This Row],[DATA]]),N([ID]=(NOTAS_80[[#This Row],[ID]]-1)),[LÍQUIDO])</f>
        <v>122.27999999999997</v>
      </c>
      <c r="AB5" s="122">
        <f>IF([T] = "VC", ABS([VALOR OP]) / [QTDE], [VALOR OP]/[QTDE])</f>
        <v>0.40759999999999991</v>
      </c>
      <c r="AC5" s="122">
        <f>TRUNC(IF(OR([T]="CV",[T]="VV"),     N5*SETUP!$H$3,     0),2)</f>
        <v>0</v>
      </c>
      <c r="AD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2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2">
        <f>IF([U] = "U", SUMPRODUCT(N([ID]&lt;=NOTAS_80[[#This Row],[ID]]),N([DATA BASE]=NOTAS_80[[#This Row],[DATA BASE]]), N(['[D/N']] = "N"),    [LUCRO P/ OP]), 0)</f>
        <v>0</v>
      </c>
      <c r="AJ5" s="122">
        <f>IF([U] = "U", SUMPRODUCT(N([DATA BASE]=NOTAS_80[[#This Row],[DATA BASE]]), N(['[D/N']] = "D"),    [LUCRO P/ OP]), 0)</f>
        <v>0</v>
      </c>
      <c r="AK5" s="122">
        <f>IF([U] = "U", SUMPRODUCT(N([DATA BASE]=NOTAS_80[[#This Row],[DATA BASE]]), N(['[D/N']] = "D"),    [IRRF FONTE]), 0)</f>
        <v>0</v>
      </c>
    </row>
    <row r="6" spans="1:37">
      <c r="A6" s="13">
        <v>7</v>
      </c>
      <c r="B6" s="113"/>
      <c r="C6" s="113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6"/>
      <c r="J6" s="13" t="s">
        <v>14</v>
      </c>
      <c r="K6" s="114">
        <f>WORKDAY(NOTAS_80[[#This Row],[DATA]],1,0)</f>
        <v>41157</v>
      </c>
      <c r="L6" s="115">
        <f>EOMONTH(NOTAS_80[[#This Row],[DATA DE LIQUIDAÇÃO]],0)</f>
        <v>41182</v>
      </c>
      <c r="M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10">
        <f>[QTDE]*[PREÇO]</f>
        <v>648</v>
      </c>
      <c r="O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10">
        <f>TRUNC([CORR BOV] * 20% * IF([PARCIAL] &gt; 0, [QTDE] / [PARCIAL], 1),2)</f>
        <v>2.44</v>
      </c>
      <c r="U6" s="110">
        <f>SUMPRODUCT(N([DATA]=NOTAS_80[[#This Row],[DATA]]),N([ID]&lt;=NOTAS_80[[#This Row],[ID]]), [CORR])</f>
        <v>2.44</v>
      </c>
      <c r="V6" s="110">
        <f>TRUNC([CORRETAGEM]*SETUP!$F$3,2)</f>
        <v>0.04</v>
      </c>
      <c r="W6" s="110">
        <f>ROUND([CORRETAGEM]*SETUP!$G$3,2)</f>
        <v>0.1</v>
      </c>
      <c r="X6" s="110">
        <f>[VALOR LÍQUIDO DAS OPERAÇÕES]-[TAXA DE LIQUIDAÇÃO]-[EMOLUMENTOS]-[TAXA DE REGISTRO]-[CORRETAGEM]-[ISS]-IF(['[D/N']]="D",    0,    [OUTRAS BOVESPA]) - [AJUSTE]</f>
        <v>-650.75000000000011</v>
      </c>
      <c r="Y6" s="110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6">
        <f>[LÍQUIDO]-SUMPRODUCT(N([DATA]=NOTAS_80[[#This Row],[DATA]]),N([ID]=(NOTAS_80[[#This Row],[ID]]-1)),[LÍQUIDO])</f>
        <v>-650.75000000000011</v>
      </c>
      <c r="AB6" s="110">
        <f>IF([T] = "VC", ABS([VALOR OP]) / [QTDE], [VALOR OP]/[QTDE])</f>
        <v>-1.6268750000000003</v>
      </c>
      <c r="AC6" s="110">
        <f>TRUNC(IF(OR([T]="CV",[T]="VV"),     N6*SETUP!$H$3,     0),2)</f>
        <v>0</v>
      </c>
      <c r="AD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10">
        <f>IF([LUCRO TMP] &lt;&gt; 0, [LUCRO TMP] - SUMPRODUCT(N([ATIVO]=NOTAS_80[[#This Row],[ATIVO]]),N(['[D/N']]="N"),N([ID]&lt;NOTAS_80[[#This Row],[ID]]),N([PAR]=NOTAS_80[[#This Row],[PAR]]), [LUCRO TMP]), 0)</f>
        <v>0</v>
      </c>
      <c r="AI6" s="110">
        <f>IF([U] = "U", SUMPRODUCT(N([ID]&lt;=NOTAS_80[[#This Row],[ID]]),N([DATA BASE]=NOTAS_80[[#This Row],[DATA BASE]]), N(['[D/N']] = "N"),    [LUCRO P/ OP]), 0)</f>
        <v>0</v>
      </c>
      <c r="AJ6" s="110">
        <f>IF([U] = "U", SUMPRODUCT(N([DATA BASE]=NOTAS_80[[#This Row],[DATA BASE]]), N(['[D/N']] = "D"),    [LUCRO P/ OP]), 0)</f>
        <v>0</v>
      </c>
      <c r="AK6" s="110">
        <f>IF([U] = "U", SUMPRODUCT(N([DATA BASE]=NOTAS_80[[#This Row],[DATA BASE]]), N(['[D/N']] = "D"),    [IRRF FONTE]), 0)</f>
        <v>0</v>
      </c>
    </row>
    <row r="7" spans="1:37">
      <c r="A7" s="13">
        <v>8</v>
      </c>
      <c r="B7" s="113"/>
      <c r="C7" s="113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6"/>
      <c r="J7" s="13" t="s">
        <v>14</v>
      </c>
      <c r="K7" s="114">
        <f>WORKDAY(NOTAS_80[[#This Row],[DATA]],1,0)</f>
        <v>41157</v>
      </c>
      <c r="L7" s="115">
        <f>EOMONTH(NOTAS_80[[#This Row],[DATA DE LIQUIDAÇÃO]],0)</f>
        <v>41182</v>
      </c>
      <c r="M7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10">
        <f>[QTDE]*[PREÇO]</f>
        <v>644</v>
      </c>
      <c r="O7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10">
        <f>TRUNC([CORR BOV] * 20% * IF([PARCIAL] &gt; 0, [QTDE] / [PARCIAL], 1),2)</f>
        <v>2.4300000000000002</v>
      </c>
      <c r="U7" s="110">
        <f>SUMPRODUCT(N([DATA]=NOTAS_80[[#This Row],[DATA]]),N([ID]&lt;=NOTAS_80[[#This Row],[ID]]), [CORR])</f>
        <v>4.87</v>
      </c>
      <c r="V7" s="110">
        <f>TRUNC([CORRETAGEM]*SETUP!$F$3,2)</f>
        <v>0.09</v>
      </c>
      <c r="W7" s="110">
        <f>ROUND([CORRETAGEM]*SETUP!$G$3,2)</f>
        <v>0.19</v>
      </c>
      <c r="X7" s="110">
        <f>[VALOR LÍQUIDO DAS OPERAÇÕES]-[TAXA DE LIQUIDAÇÃO]-[EMOLUMENTOS]-[TAXA DE REGISTRO]-[CORRETAGEM]-[ISS]-IF(['[D/N']]="D",    0,    [OUTRAS BOVESPA]) - [AJUSTE]</f>
        <v>-9.5300000000000011</v>
      </c>
      <c r="Y7" s="110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6">
        <f>[LÍQUIDO]-SUMPRODUCT(N([DATA]=NOTAS_80[[#This Row],[DATA]]),N([ID]=(NOTAS_80[[#This Row],[ID]]-1)),[LÍQUIDO])</f>
        <v>641.22000000000014</v>
      </c>
      <c r="AB7" s="110">
        <f>IF([T] = "VC", ABS([VALOR OP]) / [QTDE], [VALOR OP]/[QTDE])</f>
        <v>1.6030500000000003</v>
      </c>
      <c r="AC7" s="110">
        <f>TRUNC(IF(OR([T]="CV",[T]="VV"),     N7*SETUP!$H$3,     0),2)</f>
        <v>0.03</v>
      </c>
      <c r="AD7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10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10">
        <f>IF([U] = "U", SUMPRODUCT(N([ID]&lt;=NOTAS_80[[#This Row],[ID]]),N([DATA BASE]=NOTAS_80[[#This Row],[DATA BASE]]), N(['[D/N']] = "N"),    [LUCRO P/ OP]), 0)</f>
        <v>0</v>
      </c>
      <c r="AJ7" s="110">
        <f>IF([U] = "U", SUMPRODUCT(N([DATA BASE]=NOTAS_80[[#This Row],[DATA BASE]]), N(['[D/N']] = "D"),    [LUCRO P/ OP]), 0)</f>
        <v>0</v>
      </c>
      <c r="AK7" s="110">
        <f>IF([U] = "U", SUMPRODUCT(N([DATA BASE]=NOTAS_80[[#This Row],[DATA BASE]]), N(['[D/N']] = "D"),    [IRRF FONTE]), 0)</f>
        <v>0</v>
      </c>
    </row>
    <row r="8" spans="1:37">
      <c r="A8" s="13">
        <v>9</v>
      </c>
      <c r="B8" s="113"/>
      <c r="C8" s="113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6"/>
      <c r="J8" s="13" t="s">
        <v>14</v>
      </c>
      <c r="K8" s="114">
        <f>WORKDAY(NOTAS_80[[#This Row],[DATA]],1,0)</f>
        <v>41157</v>
      </c>
      <c r="L8" s="115">
        <f>EOMONTH(NOTAS_80[[#This Row],[DATA DE LIQUIDAÇÃO]],0)</f>
        <v>41182</v>
      </c>
      <c r="M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10">
        <f>[QTDE]*[PREÇO]</f>
        <v>160</v>
      </c>
      <c r="O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10">
        <f>TRUNC([CORR BOV] * 20% * IF([PARCIAL] &gt; 0, [QTDE] / [PARCIAL], 1),2)</f>
        <v>0.64</v>
      </c>
      <c r="U8" s="110">
        <f>SUMPRODUCT(N([DATA]=NOTAS_80[[#This Row],[DATA]]),N([ID]&lt;=NOTAS_80[[#This Row],[ID]]), [CORR])</f>
        <v>5.51</v>
      </c>
      <c r="V8" s="110">
        <f>TRUNC([CORRETAGEM]*SETUP!$F$3,2)</f>
        <v>0.11</v>
      </c>
      <c r="W8" s="110">
        <f>ROUND([CORRETAGEM]*SETUP!$G$3,2)</f>
        <v>0.21</v>
      </c>
      <c r="X8" s="110">
        <f>[VALOR LÍQUIDO DAS OPERAÇÕES]-[TAXA DE LIQUIDAÇÃO]-[EMOLUMENTOS]-[TAXA DE REGISTRO]-[CORRETAGEM]-[ISS]-IF(['[D/N']]="D",    0,    [OUTRAS BOVESPA]) - [AJUSTE]</f>
        <v>149.74</v>
      </c>
      <c r="Y8" s="110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6">
        <f>[LÍQUIDO]-SUMPRODUCT(N([DATA]=NOTAS_80[[#This Row],[DATA]]),N([ID]=(NOTAS_80[[#This Row],[ID]]-1)),[LÍQUIDO])</f>
        <v>159.27000000000001</v>
      </c>
      <c r="AB8" s="110">
        <f>IF([T] = "VC", ABS([VALOR OP]) / [QTDE], [VALOR OP]/[QTDE])</f>
        <v>1.5927</v>
      </c>
      <c r="AC8" s="110">
        <f>TRUNC(IF(OR([T]="CV",[T]="VV"),     N8*SETUP!$H$3,     0),2)</f>
        <v>0</v>
      </c>
      <c r="AD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10">
        <f>IF([LUCRO TMP] &lt;&gt; 0, [LUCRO TMP] - SUMPRODUCT(N([ATIVO]=NOTAS_80[[#This Row],[ATIVO]]),N(['[D/N']]="N"),N([ID]&lt;NOTAS_80[[#This Row],[ID]]),N([PAR]=NOTAS_80[[#This Row],[PAR]]), [LUCRO TMP]), 0)</f>
        <v>0</v>
      </c>
      <c r="AI8" s="110">
        <f>IF([U] = "U", SUMPRODUCT(N([ID]&lt;=NOTAS_80[[#This Row],[ID]]),N([DATA BASE]=NOTAS_80[[#This Row],[DATA BASE]]), N(['[D/N']] = "N"),    [LUCRO P/ OP]), 0)</f>
        <v>0</v>
      </c>
      <c r="AJ8" s="110">
        <f>IF([U] = "U", SUMPRODUCT(N([DATA BASE]=NOTAS_80[[#This Row],[DATA BASE]]), N(['[D/N']] = "D"),    [LUCRO P/ OP]), 0)</f>
        <v>0</v>
      </c>
      <c r="AK8" s="110">
        <f>IF([U] = "U", SUMPRODUCT(N([DATA BASE]=NOTAS_80[[#This Row],[DATA BASE]]), N(['[D/N']] = "D"),    [IRRF FONTE]), 0)</f>
        <v>0</v>
      </c>
    </row>
    <row r="9" spans="1:37">
      <c r="A9" s="13">
        <v>10</v>
      </c>
      <c r="B9" s="113"/>
      <c r="C9" s="113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4">
        <f>WORKDAY(NOTAS_80[[#This Row],[DATA]],1,0)</f>
        <v>41157</v>
      </c>
      <c r="L9" s="115">
        <f>EOMONTH(NOTAS_80[[#This Row],[DATA DE LIQUIDAÇÃO]],0)</f>
        <v>41182</v>
      </c>
      <c r="M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10">
        <f>[QTDE]*[PREÇO]</f>
        <v>161</v>
      </c>
      <c r="O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10">
        <f>TRUNC([CORR BOV] * 20% * IF([PARCIAL] &gt; 0, [QTDE] / [PARCIAL], 1),2)</f>
        <v>0.64</v>
      </c>
      <c r="U9" s="110">
        <f>SUMPRODUCT(N([DATA]=NOTAS_80[[#This Row],[DATA]]),N([ID]&lt;=NOTAS_80[[#This Row],[ID]]), [CORR])</f>
        <v>6.1499999999999995</v>
      </c>
      <c r="V9" s="110">
        <f>TRUNC([CORRETAGEM]*SETUP!$F$3,2)</f>
        <v>0.12</v>
      </c>
      <c r="W9" s="110">
        <f>ROUND([CORRETAGEM]*SETUP!$G$3,2)</f>
        <v>0.24</v>
      </c>
      <c r="X9" s="110">
        <f>[VALOR LÍQUIDO DAS OPERAÇÕES]-[TAXA DE LIQUIDAÇÃO]-[EMOLUMENTOS]-[TAXA DE REGISTRO]-[CORRETAGEM]-[ISS]-IF(['[D/N']]="D",    0,    [OUTRAS BOVESPA]) - [AJUSTE]</f>
        <v>-10.43</v>
      </c>
      <c r="Y9" s="110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6">
        <f>[LÍQUIDO]-SUMPRODUCT(N([DATA]=NOTAS_80[[#This Row],[DATA]]),N([ID]=(NOTAS_80[[#This Row],[ID]]-1)),[LÍQUIDO])</f>
        <v>-160.17000000000002</v>
      </c>
      <c r="AB9" s="110">
        <f>IF([T] = "VC", ABS([VALOR OP]) / [QTDE], [VALOR OP]/[QTDE])</f>
        <v>1.6017000000000001</v>
      </c>
      <c r="AC9" s="110">
        <f>TRUNC(IF(OR([T]="CV",[T]="VV"),     N9*SETUP!$H$3,     0),2)</f>
        <v>0</v>
      </c>
      <c r="AD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10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10">
        <f>IF([U] = "U", SUMPRODUCT(N([ID]&lt;=NOTAS_80[[#This Row],[ID]]),N([DATA BASE]=NOTAS_80[[#This Row],[DATA BASE]]), N(['[D/N']] = "N"),    [LUCRO P/ OP]), 0)</f>
        <v>0</v>
      </c>
      <c r="AJ9" s="110">
        <f>IF([U] = "U", SUMPRODUCT(N([DATA BASE]=NOTAS_80[[#This Row],[DATA BASE]]), N(['[D/N']] = "D"),    [LUCRO P/ OP]), 0)</f>
        <v>0</v>
      </c>
      <c r="AK9" s="110">
        <f>IF([U] = "U", SUMPRODUCT(N([DATA BASE]=NOTAS_80[[#This Row],[DATA BASE]]), N(['[D/N']] = "D"),    [IRRF FONTE]), 0)</f>
        <v>0</v>
      </c>
    </row>
    <row r="10" spans="1:37">
      <c r="A10" s="13">
        <v>11</v>
      </c>
      <c r="B10" s="120"/>
      <c r="C10" s="113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6"/>
      <c r="J10" s="85" t="s">
        <v>6</v>
      </c>
      <c r="K10" s="121">
        <f>WORKDAY(NOTAS_80[[#This Row],[DATA]],1,0)</f>
        <v>41157</v>
      </c>
      <c r="L10" s="123">
        <f>EOMONTH(NOTAS_80[[#This Row],[DATA DE LIQUIDAÇÃO]],0)</f>
        <v>41182</v>
      </c>
      <c r="M1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22">
        <f>[QTDE]*[PREÇO]</f>
        <v>483.00000000000006</v>
      </c>
      <c r="O1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22">
        <f>TRUNC([CORR BOV] * 20% * IF([PARCIAL] &gt; 0, [QTDE] / [PARCIAL], 1),2)</f>
        <v>1.93</v>
      </c>
      <c r="U10" s="122">
        <f>SUMPRODUCT(N([DATA]=NOTAS_80[[#This Row],[DATA]]),N([ID]&lt;=NOTAS_80[[#This Row],[ID]]), [CORR])</f>
        <v>8.08</v>
      </c>
      <c r="V10" s="122">
        <f>TRUNC([CORRETAGEM]*SETUP!$F$3,2)</f>
        <v>0.16</v>
      </c>
      <c r="W10" s="122">
        <f>ROUND([CORRETAGEM]*SETUP!$G$3,2)</f>
        <v>0.32</v>
      </c>
      <c r="X10" s="122">
        <f>[VALOR LÍQUIDO DAS OPERAÇÕES]-[TAXA DE LIQUIDAÇÃO]-[EMOLUMENTOS]-[TAXA DE REGISTRO]-[CORRETAGEM]-[ISS]-IF(['[D/N']]="D",    0,    [OUTRAS BOVESPA]) - [AJUSTE]</f>
        <v>468.08</v>
      </c>
      <c r="Y10" s="122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24">
        <f>[LÍQUIDO]-SUMPRODUCT(N([DATA]=NOTAS_80[[#This Row],[DATA]]),N([ID]=(NOTAS_80[[#This Row],[ID]]-1)),[LÍQUIDO])</f>
        <v>478.51</v>
      </c>
      <c r="AB10" s="122">
        <f>IF([T] = "VC", ABS([VALOR OP]) / [QTDE], [VALOR OP]/[QTDE])</f>
        <v>1.5950333333333333</v>
      </c>
      <c r="AC10" s="122">
        <f>TRUNC(IF(OR([T]="CV",[T]="VV"),     N10*SETUP!$H$3,     0),2)</f>
        <v>0.02</v>
      </c>
      <c r="AD1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22">
        <f>IF([LUCRO TMP] &lt;&gt; 0, [LUCRO TMP] - SUMPRODUCT(N([ATIVO]=NOTAS_80[[#This Row],[ATIVO]]),N(['[D/N']]="N"),N([ID]&lt;NOTAS_80[[#This Row],[ID]]),N([PAR]=NOTAS_80[[#This Row],[PAR]]), [LUCRO TMP]), 0)</f>
        <v>0</v>
      </c>
      <c r="AI10" s="122">
        <f>IF([U] = "U", SUMPRODUCT(N([ID]&lt;=NOTAS_80[[#This Row],[ID]]),N([DATA BASE]=NOTAS_80[[#This Row],[DATA BASE]]), N(['[D/N']] = "N"),    [LUCRO P/ OP]), 0)</f>
        <v>0</v>
      </c>
      <c r="AJ10" s="122">
        <f>IF([U] = "U", SUMPRODUCT(N([DATA BASE]=NOTAS_80[[#This Row],[DATA BASE]]), N(['[D/N']] = "D"),    [LUCRO P/ OP]), 0)</f>
        <v>0</v>
      </c>
      <c r="AK10" s="122">
        <f>IF([U] = "U", SUMPRODUCT(N([DATA BASE]=NOTAS_80[[#This Row],[DATA BASE]]), N(['[D/N']] = "D"),    [IRRF FONTE]), 0)</f>
        <v>0</v>
      </c>
    </row>
    <row r="11" spans="1:37">
      <c r="A11" s="13">
        <v>12</v>
      </c>
      <c r="B11" s="120"/>
      <c r="C11" s="120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21">
        <f>WORKDAY(NOTAS_80[[#This Row],[DATA]],1,0)</f>
        <v>41157</v>
      </c>
      <c r="L11" s="123">
        <f>EOMONTH(NOTAS_80[[#This Row],[DATA DE LIQUIDAÇÃO]],0)</f>
        <v>41182</v>
      </c>
      <c r="M1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22">
        <f>[QTDE]*[PREÇO]</f>
        <v>276</v>
      </c>
      <c r="O1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22">
        <f>TRUNC([CORR BOV] * 20% * IF([PARCIAL] &gt; 0, [QTDE] / [PARCIAL], 1),2)</f>
        <v>1.1000000000000001</v>
      </c>
      <c r="U11" s="122">
        <f>SUMPRODUCT(N([DATA]=NOTAS_80[[#This Row],[DATA]]),N([ID]&lt;=NOTAS_80[[#This Row],[ID]]), [CORR])</f>
        <v>9.18</v>
      </c>
      <c r="V11" s="122">
        <f>TRUNC([CORRETAGEM]*SETUP!$F$3,2)</f>
        <v>0.18</v>
      </c>
      <c r="W11" s="122">
        <f>ROUND([CORRETAGEM]*SETUP!$G$3,2)</f>
        <v>0.36</v>
      </c>
      <c r="X11" s="122">
        <f>[VALOR LÍQUIDO DAS OPERAÇÕES]-[TAXA DE LIQUIDAÇÃO]-[EMOLUMENTOS]-[TAXA DE REGISTRO]-[CORRETAGEM]-[ISS]-IF(['[D/N']]="D",    0,    [OUTRAS BOVESPA]) - [AJUSTE]</f>
        <v>193.12999999999997</v>
      </c>
      <c r="Y11" s="122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24">
        <f>[LÍQUIDO]-SUMPRODUCT(N([DATA]=NOTAS_80[[#This Row],[DATA]]),N([ID]=(NOTAS_80[[#This Row],[ID]]-1)),[LÍQUIDO])</f>
        <v>-274.95000000000005</v>
      </c>
      <c r="AB11" s="122">
        <f>IF([T] = "VC", ABS([VALOR OP]) / [QTDE], [VALOR OP]/[QTDE])</f>
        <v>-0.9165000000000002</v>
      </c>
      <c r="AC11" s="122">
        <f>TRUNC(IF(OR([T]="CV",[T]="VV"),     N11*SETUP!$H$3,     0),2)</f>
        <v>0</v>
      </c>
      <c r="AD1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22">
        <f>IF([LUCRO TMP] &lt;&gt; 0, [LUCRO TMP] - SUMPRODUCT(N([ATIVO]=NOTAS_80[[#This Row],[ATIVO]]),N(['[D/N']]="N"),N([ID]&lt;NOTAS_80[[#This Row],[ID]]),N([PAR]=NOTAS_80[[#This Row],[PAR]]), [LUCRO TMP]), 0)</f>
        <v>0</v>
      </c>
      <c r="AI11" s="122">
        <f>IF([U] = "U", SUMPRODUCT(N([ID]&lt;=NOTAS_80[[#This Row],[ID]]),N([DATA BASE]=NOTAS_80[[#This Row],[DATA BASE]]), N(['[D/N']] = "N"),    [LUCRO P/ OP]), 0)</f>
        <v>0</v>
      </c>
      <c r="AJ11" s="122">
        <f>IF([U] = "U", SUMPRODUCT(N([DATA BASE]=NOTAS_80[[#This Row],[DATA BASE]]), N(['[D/N']] = "D"),    [LUCRO P/ OP]), 0)</f>
        <v>0</v>
      </c>
      <c r="AK11" s="122">
        <f>IF([U] = "U", SUMPRODUCT(N([DATA BASE]=NOTAS_80[[#This Row],[DATA BASE]]), N(['[D/N']] = "D"),    [IRRF FONTE]), 0)</f>
        <v>0</v>
      </c>
    </row>
    <row r="12" spans="1:37">
      <c r="A12" s="13">
        <v>13</v>
      </c>
      <c r="B12" s="113"/>
      <c r="C12" s="113" t="s">
        <v>153</v>
      </c>
      <c r="D12" s="13" t="s">
        <v>67</v>
      </c>
      <c r="E12" s="86">
        <v>41157</v>
      </c>
      <c r="F12" s="85">
        <v>300</v>
      </c>
      <c r="G12" s="87">
        <v>1.56</v>
      </c>
      <c r="H12" s="96"/>
      <c r="I12" s="97"/>
      <c r="J12" s="85" t="s">
        <v>6</v>
      </c>
      <c r="K12" s="114">
        <f>WORKDAY(NOTAS_80[[#This Row],[DATA]],1,0)</f>
        <v>41158</v>
      </c>
      <c r="L12" s="115">
        <f>EOMONTH(NOTAS_80[[#This Row],[DATA DE LIQUIDAÇÃO]],0)</f>
        <v>41182</v>
      </c>
      <c r="M1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10">
        <f>[QTDE]*[PREÇO]</f>
        <v>468</v>
      </c>
      <c r="O1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-468</v>
      </c>
      <c r="P1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1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0.32</v>
      </c>
      <c r="S1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9.36</v>
      </c>
      <c r="T12" s="110">
        <f>TRUNC([CORR BOV] * 20% * IF([PARCIAL] &gt; 0, [QTDE] / [PARCIAL], 1),2)</f>
        <v>1.87</v>
      </c>
      <c r="U12" s="110">
        <f>SUMPRODUCT(N([DATA]=NOTAS_80[[#This Row],[DATA]]),N([ID]&lt;=NOTAS_80[[#This Row],[ID]]), [CORR])</f>
        <v>1.87</v>
      </c>
      <c r="V12" s="110">
        <f>TRUNC([CORRETAGEM]*SETUP!$F$3,2)</f>
        <v>0.03</v>
      </c>
      <c r="W12" s="110">
        <f>ROUND([CORRETAGEM]*SETUP!$G$3,2)</f>
        <v>7.0000000000000007E-2</v>
      </c>
      <c r="X12" s="110">
        <f>[VALOR LÍQUIDO DAS OPERAÇÕES]-[TAXA DE LIQUIDAÇÃO]-[EMOLUMENTOS]-[TAXA DE REGISTRO]-[CORRETAGEM]-[ISS]-IF(['[D/N']]="D",    0,    [OUTRAS BOVESPA]) - [AJUSTE]</f>
        <v>-470.58</v>
      </c>
      <c r="Y12" s="110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-470.58</v>
      </c>
      <c r="AA12" s="116">
        <f>[LÍQUIDO]-SUMPRODUCT(N([DATA]=NOTAS_80[[#This Row],[DATA]]),N([ID]=(NOTAS_80[[#This Row],[ID]]-1)),[LÍQUIDO])</f>
        <v>-470.58</v>
      </c>
      <c r="AB12" s="110">
        <f>IF([T] = "VC", ABS([VALOR OP]) / [QTDE], [VALOR OP]/[QTDE])</f>
        <v>1.5686</v>
      </c>
      <c r="AC12" s="110">
        <f>TRUNC(IF(OR([T]="CV",[T]="VV"),     N12*SETUP!$H$3,     0),2)</f>
        <v>0</v>
      </c>
      <c r="AD1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1.5686</v>
      </c>
      <c r="AF1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7.9299999999999926</v>
      </c>
      <c r="AH12" s="110">
        <f>IF([LUCRO TMP] &lt;&gt; 0, [LUCRO TMP] - SUMPRODUCT(N([ATIVO]=NOTAS_80[[#This Row],[ATIVO]]),N(['[D/N']]="N"),N([ID]&lt;NOTAS_80[[#This Row],[ID]]),N([PAR]=NOTAS_80[[#This Row],[PAR]]), [LUCRO TMP]), 0)</f>
        <v>7.9299999999999926</v>
      </c>
      <c r="AI12" s="110">
        <f>IF([U] = "U", SUMPRODUCT(N([ID]&lt;=NOTAS_80[[#This Row],[ID]]),N([DATA BASE]=NOTAS_80[[#This Row],[DATA BASE]]), N(['[D/N']] = "N"),    [LUCRO P/ OP]), 0)</f>
        <v>0</v>
      </c>
      <c r="AJ12" s="110">
        <f>IF([U] = "U", SUMPRODUCT(N([DATA BASE]=NOTAS_80[[#This Row],[DATA BASE]]), N(['[D/N']] = "D"),    [LUCRO P/ OP]), 0)</f>
        <v>0</v>
      </c>
      <c r="AK12" s="110">
        <f>IF([U] = "U", SUMPRODUCT(N([DATA BASE]=NOTAS_80[[#This Row],[DATA BASE]]), N(['[D/N']] = "D"),    [IRRF FONTE]), 0)</f>
        <v>0</v>
      </c>
    </row>
    <row r="13" spans="1:37">
      <c r="A13" s="13">
        <v>14</v>
      </c>
      <c r="B13" s="120" t="s">
        <v>49</v>
      </c>
      <c r="C13" s="120" t="s">
        <v>154</v>
      </c>
      <c r="D13" s="85" t="s">
        <v>25</v>
      </c>
      <c r="E13" s="86">
        <v>41157</v>
      </c>
      <c r="F13" s="85">
        <v>300</v>
      </c>
      <c r="G13" s="87">
        <v>0.88</v>
      </c>
      <c r="H13" s="96"/>
      <c r="I13" s="97"/>
      <c r="J13" s="85" t="s">
        <v>6</v>
      </c>
      <c r="K13" s="121">
        <f>WORKDAY(NOTAS_80[[#This Row],[DATA]],1,0)</f>
        <v>41158</v>
      </c>
      <c r="L13" s="123">
        <f>EOMONTH(NOTAS_80[[#This Row],[DATA DE LIQUIDAÇÃO]],0)</f>
        <v>41182</v>
      </c>
      <c r="M13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22">
        <f>[QTDE]*[PREÇO]</f>
        <v>264</v>
      </c>
      <c r="O13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-204</v>
      </c>
      <c r="P13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13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0.27</v>
      </c>
      <c r="R13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13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5.28</v>
      </c>
      <c r="T13" s="122">
        <f>TRUNC([CORR BOV] * 20% * IF([PARCIAL] &gt; 0, [QTDE] / [PARCIAL], 1),2)</f>
        <v>1.05</v>
      </c>
      <c r="U13" s="122">
        <f>SUMPRODUCT(N([DATA]=NOTAS_80[[#This Row],[DATA]]),N([ID]&lt;=NOTAS_80[[#This Row],[ID]]), [CORR])</f>
        <v>2.92</v>
      </c>
      <c r="V13" s="122">
        <f>TRUNC([CORRETAGEM]*SETUP!$F$3,2)</f>
        <v>0.05</v>
      </c>
      <c r="W13" s="122">
        <f>ROUND([CORRETAGEM]*SETUP!$G$3,2)</f>
        <v>0.11</v>
      </c>
      <c r="X13" s="122">
        <f>[VALOR LÍQUIDO DAS OPERAÇÕES]-[TAXA DE LIQUIDAÇÃO]-[EMOLUMENTOS]-[TAXA DE REGISTRO]-[CORRETAGEM]-[ISS]-IF(['[D/N']]="D",    0,    [OUTRAS BOVESPA]) - [AJUSTE]</f>
        <v>-208.05</v>
      </c>
      <c r="Y13" s="122">
        <f>IF(AND(['[D/N']]="D",    [T]="CV",    [LÍQUIDO BASE] &gt; 0),    TRUNC([LÍQUIDO BASE]*0.01, 2),    0)</f>
        <v>0</v>
      </c>
      <c r="Z13" s="63">
        <f>IF([PREÇO] &gt; 0,    [LÍQUIDO BASE]-SUMPRODUCT(N([DATA]=NOTAS_80[[#This Row],[DATA]]),    [IRRF FONTE]),    0)</f>
        <v>-208.05</v>
      </c>
      <c r="AA13" s="124">
        <f>[LÍQUIDO]-SUMPRODUCT(N([DATA]=NOTAS_80[[#This Row],[DATA]]),N([ID]=(NOTAS_80[[#This Row],[ID]]-1)),[LÍQUIDO])</f>
        <v>262.52999999999997</v>
      </c>
      <c r="AB13" s="122">
        <f>IF([T] = "VC", ABS([VALOR OP]) / [QTDE], [VALOR OP]/[QTDE])</f>
        <v>0.87509999999999988</v>
      </c>
      <c r="AC13" s="122">
        <f>TRUNC(IF(OR([T]="CV",[T]="VV"),     N13*SETUP!$H$3,     0),2)</f>
        <v>0.01</v>
      </c>
      <c r="AD13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3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3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0.87509999999999988</v>
      </c>
      <c r="AG13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-12.420000000000098</v>
      </c>
      <c r="AH13" s="122">
        <f>IF([LUCRO TMP] &lt;&gt; 0, [LUCRO TMP] - SUMPRODUCT(N([ATIVO]=NOTAS_80[[#This Row],[ATIVO]]),N(['[D/N']]="N"),N([ID]&lt;NOTAS_80[[#This Row],[ID]]),N([PAR]=NOTAS_80[[#This Row],[PAR]]), [LUCRO TMP]), 0)</f>
        <v>-12.420000000000098</v>
      </c>
      <c r="AI13" s="122">
        <f>IF([U] = "U", SUMPRODUCT(N([ID]&lt;=NOTAS_80[[#This Row],[ID]]),N([DATA BASE]=NOTAS_80[[#This Row],[DATA BASE]]), N(['[D/N']] = "N"),    [LUCRO P/ OP]), 0)</f>
        <v>-4.490000000000105</v>
      </c>
      <c r="AJ13" s="122">
        <f>IF([U] = "U", SUMPRODUCT(N([DATA BASE]=NOTAS_80[[#This Row],[DATA BASE]]), N(['[D/N']] = "D"),    [LUCRO P/ OP]), 0)</f>
        <v>-10.430000000000007</v>
      </c>
      <c r="AK13" s="122">
        <f>IF([U] = "U", SUMPRODUCT(N([DATA BASE]=NOTAS_80[[#This Row],[DATA BASE]]), N(['[D/N']] = "D"),    [IRRF FONTE]), 0)</f>
        <v>0</v>
      </c>
    </row>
    <row r="14" spans="1:37">
      <c r="A14" s="108">
        <f>SUBTOTAL(104,[ID])</f>
        <v>14</v>
      </c>
      <c r="B14" s="108"/>
      <c r="C14" s="108"/>
      <c r="D14" s="108"/>
      <c r="E14" s="108"/>
      <c r="F14" s="108"/>
      <c r="G14" s="108"/>
      <c r="H14" s="109"/>
      <c r="I14" s="110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10"/>
      <c r="Y14" s="108"/>
      <c r="Z14" s="110"/>
      <c r="AA14" s="110"/>
      <c r="AB14" s="108"/>
      <c r="AC14" s="110">
        <f>SUBTOTAL(109,[IRRF])</f>
        <v>6.0000000000000005E-2</v>
      </c>
      <c r="AD14" s="110"/>
      <c r="AE14" s="108"/>
      <c r="AF14" s="108"/>
      <c r="AG14" s="110"/>
      <c r="AH14" s="110">
        <f>SUBTOTAL(109,[LUCRO P/ OP])</f>
        <v>-75.210000000000164</v>
      </c>
      <c r="AI14" s="110"/>
      <c r="AJ14" s="111"/>
      <c r="AK14" s="112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10" sqref="I10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435</v>
      </c>
      <c r="C2" s="25">
        <v>21</v>
      </c>
      <c r="D2" s="25">
        <v>0.36</v>
      </c>
      <c r="E2" s="39">
        <v>20.95</v>
      </c>
      <c r="F2" s="28">
        <f>ROUNDDOWN([APLICAÇÃO]/[PREÇO OPÇÃO], 0)</f>
        <v>1208</v>
      </c>
      <c r="G2" s="28">
        <f>[QTDE TMP] - MOD([QTDE TMP], 100)</f>
        <v>1200</v>
      </c>
      <c r="H2" s="25">
        <f>[EXERCÍCIO] + ([PREÇO OPÇÃO] * 2)</f>
        <v>21.72</v>
      </c>
      <c r="I2" s="27">
        <f>[TARGET 100%] / [PREÇO AÇÃO] - 1</f>
        <v>3.6754176610978462E-2</v>
      </c>
      <c r="J2" s="25">
        <f>[PREÇO OPÇÃO] * [QTDE]</f>
        <v>432</v>
      </c>
      <c r="K2" s="25">
        <f>IF([PREÇO AÇÃO] &gt; [EXERCÍCIO], [PREÇO OPÇÃO] -([PREÇO AÇÃO] - [EXERCÍCIO]), [PREÇO OPÇÃO])</f>
        <v>0.36</v>
      </c>
    </row>
    <row r="3" spans="1:11">
      <c r="A3" s="7" t="s">
        <v>131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</f>
        <v>1826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133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</f>
        <v>1813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C5" sqref="C5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50</v>
      </c>
      <c r="C3" s="25">
        <v>20.54</v>
      </c>
      <c r="D3" s="25">
        <v>19.829999999999998</v>
      </c>
      <c r="E3" s="25">
        <v>1.01</v>
      </c>
      <c r="F3" s="25">
        <v>21</v>
      </c>
      <c r="G3" s="25">
        <v>0.3</v>
      </c>
      <c r="H3" s="25">
        <f>([QTDE] * [PREÇO COMPRA]) + ([QTDE] * [PREÇO VENDA])</f>
        <v>131</v>
      </c>
      <c r="I3" s="25">
        <f>[PREÇO VENDA]-[PREÇO COMPRA]</f>
        <v>0.71</v>
      </c>
      <c r="J3" s="25">
        <f>(0.01 - [PREÇO COMPRA]) + ([PREÇO VENDA] - ([EXERC. COMPRA]-[EXERC. VENDA]+0.01))</f>
        <v>-0.46000000000000169</v>
      </c>
      <c r="K3" s="28">
        <f>ROUNDDOWN([RISCO]/ABS([PERDA P/ OPÇÃO]), 0)</f>
        <v>108</v>
      </c>
      <c r="L3" s="28">
        <f>[QTDE TMP] - MOD([QTDE TMP], 100)</f>
        <v>100</v>
      </c>
      <c r="M3" s="25">
        <f>([QTDE]*[LUCRO P/ OPÇÃO])</f>
        <v>71</v>
      </c>
      <c r="N3" s="25">
        <f>[QTDE]*[PERDA P/ OPÇÃO]</f>
        <v>-46.000000000000171</v>
      </c>
      <c r="O3" s="27">
        <f>[EXERC. VENDA]/[PREÇO AÇÃO]-1</f>
        <v>-3.4566699123661171E-2</v>
      </c>
      <c r="P3" s="38">
        <f>[LUCRO*]/ABS([PERDA*])</f>
        <v>1.5434782608695594</v>
      </c>
    </row>
    <row r="4" spans="1:16">
      <c r="A4" s="105" t="s">
        <v>69</v>
      </c>
      <c r="B4" s="25">
        <v>50</v>
      </c>
      <c r="C4" s="25">
        <v>20.5</v>
      </c>
      <c r="D4" s="25">
        <v>19</v>
      </c>
      <c r="E4" s="25">
        <v>1.61</v>
      </c>
      <c r="F4" s="25">
        <v>19.829999999999998</v>
      </c>
      <c r="G4" s="25">
        <v>0.92</v>
      </c>
      <c r="H4" s="81">
        <f>([QTDE] * [PREÇO COMPRA]) + ([QTDE] * [PREÇO VENDA])</f>
        <v>759</v>
      </c>
      <c r="I4" s="81">
        <f>[PREÇO VENDA]-[PREÇO COMPRA]</f>
        <v>0.69000000000000006</v>
      </c>
      <c r="J4" s="81">
        <f>(0.01 - [PREÇO COMPRA]) + ([PREÇO VENDA] - ([EXERC. COMPRA]-[EXERC. VENDA]+0.01))</f>
        <v>-0.13999999999999824</v>
      </c>
      <c r="K4" s="106">
        <f>ROUNDDOWN([RISCO]/ABS([PERDA P/ OPÇÃO]), 0)</f>
        <v>357</v>
      </c>
      <c r="L4" s="106">
        <f>[QTDE TMP] - MOD([QTDE TMP], 100)</f>
        <v>300</v>
      </c>
      <c r="M4" s="81">
        <f>([QTDE]*[LUCRO P/ OPÇÃO])</f>
        <v>207.00000000000003</v>
      </c>
      <c r="N4" s="81">
        <f>[QTDE]*[PERDA P/ OPÇÃO]</f>
        <v>-41.999999999999474</v>
      </c>
      <c r="O4" s="82">
        <f>[EXERC. VENDA]/[PREÇO AÇÃO]-1</f>
        <v>-7.3170731707317027E-2</v>
      </c>
      <c r="P4" s="83">
        <f>[LUCRO*]/ABS([PERDA*])</f>
        <v>4.928571428571491</v>
      </c>
    </row>
    <row r="5" spans="1:16">
      <c r="A5" s="134" t="s">
        <v>15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4"/>
      <c r="P5" s="13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0" customFormat="1">
      <c r="A1" s="128" t="s">
        <v>55</v>
      </c>
      <c r="B1" s="128" t="s">
        <v>91</v>
      </c>
      <c r="C1" s="128" t="s">
        <v>92</v>
      </c>
      <c r="D1" s="129" t="s">
        <v>93</v>
      </c>
      <c r="E1" s="129" t="s">
        <v>94</v>
      </c>
      <c r="F1" s="129" t="s">
        <v>95</v>
      </c>
      <c r="G1" s="129" t="s">
        <v>96</v>
      </c>
      <c r="H1" s="129" t="s">
        <v>97</v>
      </c>
      <c r="I1" s="129" t="s">
        <v>98</v>
      </c>
      <c r="J1" s="129" t="s">
        <v>87</v>
      </c>
      <c r="K1" s="129" t="s">
        <v>88</v>
      </c>
      <c r="L1" s="129" t="s">
        <v>89</v>
      </c>
      <c r="M1" s="129" t="s">
        <v>100</v>
      </c>
      <c r="N1" s="129" t="s">
        <v>63</v>
      </c>
      <c r="O1" s="129" t="s">
        <v>1</v>
      </c>
      <c r="P1" s="129" t="s">
        <v>99</v>
      </c>
      <c r="Q1" s="129" t="s">
        <v>113</v>
      </c>
      <c r="R1" s="129" t="s">
        <v>151</v>
      </c>
      <c r="S1" s="129" t="s">
        <v>152</v>
      </c>
      <c r="T1" s="129" t="s">
        <v>86</v>
      </c>
      <c r="U1" s="129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33" t="s">
        <v>7</v>
      </c>
      <c r="B1" s="133"/>
      <c r="C1" s="133" t="s">
        <v>8</v>
      </c>
      <c r="D1" s="133"/>
      <c r="E1" s="132" t="s">
        <v>9</v>
      </c>
      <c r="F1" s="132" t="s">
        <v>4</v>
      </c>
      <c r="G1" s="132" t="s">
        <v>10</v>
      </c>
      <c r="H1" s="132" t="s">
        <v>11</v>
      </c>
      <c r="I1" s="132" t="s">
        <v>23</v>
      </c>
      <c r="K1" s="131" t="s">
        <v>149</v>
      </c>
      <c r="L1" s="131"/>
      <c r="M1" s="131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32"/>
      <c r="F2" s="132"/>
      <c r="G2" s="132"/>
      <c r="H2" s="132"/>
      <c r="I2" s="132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31" t="s">
        <v>26</v>
      </c>
      <c r="B4" s="131"/>
      <c r="C4" s="131"/>
      <c r="D4" s="131"/>
      <c r="E4" s="131"/>
      <c r="F4" s="131"/>
      <c r="K4" s="17">
        <v>498.62</v>
      </c>
      <c r="L4" s="17">
        <v>0</v>
      </c>
      <c r="M4" s="107">
        <v>0.02</v>
      </c>
    </row>
    <row r="5" spans="1:13">
      <c r="A5" s="131" t="s">
        <v>7</v>
      </c>
      <c r="B5" s="131"/>
      <c r="C5" s="131"/>
      <c r="D5" s="131" t="s">
        <v>8</v>
      </c>
      <c r="E5" s="131"/>
      <c r="F5" s="131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2012-09-04T16:13:16Z</dcterms:modified>
</cp:coreProperties>
</file>