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4" localSheetId="1">Cotacao!$C$7:$C$113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7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6" localSheetId="5">'Cotacao 5'!$C$7:$C$98</definedName>
    <definedName name="DadosExternos_477" localSheetId="3">'Cotacao 3'!$C$7:$C$113</definedName>
    <definedName name="DadosExternos_477" localSheetId="4">'Cotacao 4'!$C$7:$C$112</definedName>
    <definedName name="DadosExternos_478" localSheetId="4">'Cotacao 4'!$C$7:$C$112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2" r:id="rId12"/>
  </pivotCaches>
</workbook>
</file>

<file path=xl/calcChain.xml><?xml version="1.0" encoding="utf-8"?>
<calcChain xmlns="http://schemas.openxmlformats.org/spreadsheetml/2006/main">
  <c r="V2" i="1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498"/>
  <c r="V32"/>
  <c r="V33"/>
  <c r="V34"/>
  <c r="V35"/>
  <c r="V49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497"/>
  <c r="V137"/>
  <c r="V138"/>
  <c r="V139"/>
  <c r="V140"/>
  <c r="V141"/>
  <c r="V246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36"/>
  <c r="V247"/>
  <c r="V248"/>
  <c r="V249"/>
  <c r="V250"/>
  <c r="V251"/>
  <c r="V252"/>
  <c r="V253"/>
  <c r="V254"/>
  <c r="V255"/>
  <c r="V256"/>
  <c r="V257"/>
  <c r="V258"/>
  <c r="V259"/>
  <c r="V260"/>
  <c r="V261"/>
  <c r="V262"/>
  <c r="V142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1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263"/>
  <c r="V363"/>
  <c r="V136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R2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498"/>
  <c r="X498" s="1"/>
  <c r="R32"/>
  <c r="X32" s="1"/>
  <c r="R33"/>
  <c r="X33" s="1"/>
  <c r="R34"/>
  <c r="X34" s="1"/>
  <c r="R35"/>
  <c r="X35" s="1"/>
  <c r="R496"/>
  <c r="X49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497"/>
  <c r="X497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43"/>
  <c r="X143" s="1"/>
  <c r="R80"/>
  <c r="X80" s="1"/>
  <c r="R81"/>
  <c r="X81" s="1"/>
  <c r="R142"/>
  <c r="X142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31"/>
  <c r="X31" s="1"/>
  <c r="R137"/>
  <c r="X137" s="1"/>
  <c r="R138"/>
  <c r="X138" s="1"/>
  <c r="R139"/>
  <c r="X139" s="1"/>
  <c r="R140"/>
  <c r="X140" s="1"/>
  <c r="R79"/>
  <c r="X79" s="1"/>
  <c r="R364"/>
  <c r="X364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263"/>
  <c r="X263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363"/>
  <c r="X363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36"/>
  <c r="X36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361"/>
  <c r="X361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246"/>
  <c r="X246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136"/>
  <c r="X136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462"/>
  <c r="X462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86"/>
  <c r="X86" s="1"/>
  <c r="R174"/>
  <c r="X174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498"/>
  <c r="T32"/>
  <c r="T33"/>
  <c r="T34"/>
  <c r="T35"/>
  <c r="T49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497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43"/>
  <c r="T80"/>
  <c r="T81"/>
  <c r="T142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31"/>
  <c r="T137"/>
  <c r="T138"/>
  <c r="T139"/>
  <c r="T140"/>
  <c r="T79"/>
  <c r="T364"/>
  <c r="T141"/>
  <c r="T144"/>
  <c r="T145"/>
  <c r="T146"/>
  <c r="T147"/>
  <c r="T148"/>
  <c r="T149"/>
  <c r="T263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363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36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361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136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86"/>
  <c r="T174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31"/>
  <c r="C32"/>
  <c r="Z31"/>
  <c r="AA31" s="1"/>
  <c r="AB31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263"/>
  <c r="Z263"/>
  <c r="AA263" s="1"/>
  <c r="AB263" s="1"/>
  <c r="AC263" s="1"/>
  <c r="C246"/>
  <c r="Z246"/>
  <c r="AA246" s="1"/>
  <c r="AB246" s="1"/>
  <c r="AC246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U2" l="1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364"/>
  <c r="U363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263"/>
  <c r="U262"/>
  <c r="U261"/>
  <c r="U260"/>
  <c r="U259"/>
  <c r="U258"/>
  <c r="W514"/>
  <c r="Y344"/>
  <c r="Y356"/>
  <c r="Y368"/>
  <c r="Y384"/>
  <c r="Y392"/>
  <c r="Y408"/>
  <c r="Y416"/>
  <c r="Y432"/>
  <c r="Y440"/>
  <c r="Y452"/>
  <c r="Y340"/>
  <c r="Y352"/>
  <c r="Y364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49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363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498"/>
  <c r="Y494"/>
  <c r="Y490"/>
  <c r="Y486"/>
  <c r="Y482"/>
  <c r="Y478"/>
  <c r="Y474"/>
  <c r="Y470"/>
  <c r="Y466"/>
  <c r="Y462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136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31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118"/>
  <c r="Y122"/>
  <c r="Y126"/>
  <c r="Y130"/>
  <c r="Y134"/>
  <c r="Y138"/>
  <c r="Y142"/>
  <c r="Y146"/>
  <c r="Y150"/>
  <c r="Y154"/>
  <c r="Y158"/>
  <c r="Y162"/>
  <c r="Y166"/>
  <c r="Y170"/>
  <c r="Y174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246"/>
  <c r="Y250"/>
  <c r="Y254"/>
  <c r="Y258"/>
  <c r="Y262"/>
  <c r="Y266"/>
  <c r="Y270"/>
  <c r="Y274"/>
  <c r="Y4"/>
  <c r="Y8"/>
  <c r="Y12"/>
  <c r="Y16"/>
  <c r="Y20"/>
  <c r="Y24"/>
  <c r="Y28"/>
  <c r="Y32"/>
  <c r="Y36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3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263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497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361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36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3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263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462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363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31"/>
  <c r="W39"/>
  <c r="W47"/>
  <c r="W55"/>
  <c r="W63"/>
  <c r="W70"/>
  <c r="W78"/>
  <c r="W86"/>
  <c r="W94"/>
  <c r="W102"/>
  <c r="W110"/>
  <c r="W118"/>
  <c r="W126"/>
  <c r="W134"/>
  <c r="W142"/>
  <c r="W150"/>
  <c r="W158"/>
  <c r="W166"/>
  <c r="W174"/>
  <c r="W182"/>
  <c r="W190"/>
  <c r="W198"/>
  <c r="W206"/>
  <c r="W214"/>
  <c r="W222"/>
  <c r="W230"/>
  <c r="W238"/>
  <c r="W246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364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49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136"/>
  <c r="W104"/>
  <c r="W72"/>
  <c r="W518"/>
  <c r="W513"/>
  <c r="W506"/>
  <c r="W498"/>
  <c r="W489"/>
  <c r="W473"/>
  <c r="W457"/>
  <c r="W441"/>
  <c r="W425"/>
  <c r="W409"/>
  <c r="W393"/>
  <c r="W377"/>
  <c r="W361"/>
  <c r="W345"/>
  <c r="W320"/>
  <c r="W288"/>
  <c r="W256"/>
  <c r="W224"/>
  <c r="W192"/>
  <c r="W160"/>
  <c r="W128"/>
  <c r="W96"/>
  <c r="W64"/>
  <c r="W33"/>
  <c r="W216"/>
  <c r="W519"/>
  <c r="W517"/>
  <c r="W511"/>
  <c r="W505"/>
  <c r="W497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31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31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498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497"/>
  <c r="BB388"/>
  <c r="BB209"/>
  <c r="BB430"/>
  <c r="BB412"/>
  <c r="BB325"/>
  <c r="BB246"/>
  <c r="BB49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136"/>
  <c r="BB433"/>
  <c r="BB347"/>
  <c r="BB248"/>
  <c r="BB40"/>
  <c r="BB134"/>
  <c r="BB296"/>
  <c r="BB449"/>
  <c r="BB465"/>
  <c r="BB295"/>
  <c r="BB102"/>
  <c r="BB504"/>
  <c r="BB227"/>
  <c r="BB518"/>
  <c r="BB315"/>
  <c r="BB462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174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363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263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86"/>
  <c r="BB107"/>
  <c r="BB124"/>
  <c r="BB142"/>
  <c r="BB159"/>
  <c r="BB179"/>
  <c r="BB203"/>
  <c r="BB220"/>
  <c r="BB242"/>
  <c r="BB266"/>
  <c r="BB287"/>
  <c r="BB310"/>
  <c r="BB339"/>
  <c r="BB361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364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43"/>
  <c r="BB109"/>
  <c r="BB71"/>
  <c r="BB36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174"/>
  <c r="Z174"/>
  <c r="AA174" s="1"/>
  <c r="AB174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174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498"/>
  <c r="Z498"/>
  <c r="AA498" s="1"/>
  <c r="AB498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498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36"/>
  <c r="BA370"/>
  <c r="BA142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31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31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246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263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462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364"/>
  <c r="BA234"/>
  <c r="BA137"/>
  <c r="BA51"/>
  <c r="BA372"/>
  <c r="BA480"/>
  <c r="BA414"/>
  <c r="BA361"/>
  <c r="BA289"/>
  <c r="BA231"/>
  <c r="BA185"/>
  <c r="BA132"/>
  <c r="BA86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263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136"/>
  <c r="BA155"/>
  <c r="BA191"/>
  <c r="BA212"/>
  <c r="BA233"/>
  <c r="BA257"/>
  <c r="BA291"/>
  <c r="BA333"/>
  <c r="BA363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497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174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49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498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43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246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174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36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136"/>
  <c r="AZ137"/>
  <c r="AZ140"/>
  <c r="AZ141"/>
  <c r="AZ142"/>
  <c r="AZ143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361"/>
  <c r="AZ363"/>
  <c r="AZ364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462"/>
  <c r="AZ463"/>
  <c r="AZ464"/>
  <c r="AZ465"/>
  <c r="AZ477"/>
  <c r="AZ284"/>
  <c r="AZ484"/>
  <c r="AZ490"/>
  <c r="AZ491"/>
  <c r="AZ492"/>
  <c r="AZ495"/>
  <c r="AZ496"/>
  <c r="AZ497"/>
  <c r="AZ498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462"/>
  <c r="Z462"/>
  <c r="AA462" s="1"/>
  <c r="AB462" s="1"/>
  <c r="AC462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36"/>
  <c r="Z36"/>
  <c r="AA36" s="1"/>
  <c r="AB36" s="1"/>
  <c r="AC36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136"/>
  <c r="Z136"/>
  <c r="AA136" s="1"/>
  <c r="AB136" s="1"/>
  <c r="AC136" l="1"/>
  <c r="C137"/>
  <c r="Z137"/>
  <c r="AA137" s="1"/>
  <c r="AB137" s="1"/>
  <c r="AC137" l="1"/>
  <c r="C141"/>
  <c r="Z141"/>
  <c r="AA141" s="1"/>
  <c r="AB141" s="1"/>
  <c r="AC141" l="1"/>
  <c r="C142"/>
  <c r="Z142"/>
  <c r="AA142" s="1"/>
  <c r="AB142" s="1"/>
  <c r="AC142" l="1"/>
  <c r="C143"/>
  <c r="Z143"/>
  <c r="AA143" s="1"/>
  <c r="AB143" s="1"/>
  <c r="AC143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361"/>
  <c r="Z361"/>
  <c r="AA361" s="1"/>
  <c r="AB361" s="1"/>
  <c r="AC361" l="1"/>
  <c r="C363"/>
  <c r="Z363"/>
  <c r="AA363" s="1"/>
  <c r="AB363" s="1"/>
  <c r="AC363" l="1"/>
  <c r="C364"/>
  <c r="Z364"/>
  <c r="AA364" s="1"/>
  <c r="AB364" s="1"/>
  <c r="AC364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496"/>
  <c r="AA496" s="1"/>
  <c r="AB496" s="1"/>
  <c r="Z497"/>
  <c r="AA497" s="1"/>
  <c r="AB497" s="1"/>
  <c r="C497"/>
  <c r="C49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31"/>
  <c r="AD106"/>
  <c r="AG261"/>
  <c r="AG262"/>
  <c r="AG226"/>
  <c r="AD261"/>
  <c r="AD386"/>
  <c r="AD31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496"/>
  <c r="AM496" s="1"/>
  <c r="AD363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263"/>
  <c r="AD430"/>
  <c r="AG96"/>
  <c r="AD506"/>
  <c r="AD246"/>
  <c r="AG230"/>
  <c r="AD230"/>
  <c r="AD340"/>
  <c r="AG263"/>
  <c r="AG153"/>
  <c r="AD416"/>
  <c r="AD229"/>
  <c r="AD153"/>
  <c r="AG294"/>
  <c r="AG246"/>
  <c r="AG178"/>
  <c r="AD293"/>
  <c r="AD96"/>
  <c r="AD184"/>
  <c r="AD178"/>
  <c r="AG229"/>
  <c r="AD371"/>
  <c r="AI371" s="1"/>
  <c r="AD95"/>
  <c r="AG95"/>
  <c r="AD52"/>
  <c r="AG52"/>
  <c r="AD497"/>
  <c r="AI497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498"/>
  <c r="AI498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174"/>
  <c r="AD414"/>
  <c r="AI414" s="1"/>
  <c r="AD464"/>
  <c r="AD247"/>
  <c r="AD311"/>
  <c r="AD2"/>
  <c r="AD341"/>
  <c r="AD393"/>
  <c r="AD501"/>
  <c r="AD63"/>
  <c r="AD454"/>
  <c r="AD260"/>
  <c r="AD284"/>
  <c r="AD187"/>
  <c r="AD462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36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86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136"/>
  <c r="AD130"/>
  <c r="AD137"/>
  <c r="AD141"/>
  <c r="AD142"/>
  <c r="AI142" s="1"/>
  <c r="AD144"/>
  <c r="AD143"/>
  <c r="AI143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361"/>
  <c r="AI361" s="1"/>
  <c r="AD360"/>
  <c r="AD364"/>
  <c r="AI364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174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462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498"/>
  <c r="AG20"/>
  <c r="AG8"/>
  <c r="AG35"/>
  <c r="AG30"/>
  <c r="AG37"/>
  <c r="AG36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86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136"/>
  <c r="AG135"/>
  <c r="AG141"/>
  <c r="AG137"/>
  <c r="AG143"/>
  <c r="AG142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363"/>
  <c r="AC497"/>
  <c r="AG497" s="1"/>
  <c r="AC496"/>
  <c r="AC373"/>
  <c r="AG361"/>
  <c r="AG364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31"/>
  <c r="AE31"/>
  <c r="AE226"/>
  <c r="AF226"/>
  <c r="AI105"/>
  <c r="AH105"/>
  <c r="AH106"/>
  <c r="AI31"/>
  <c r="AH32"/>
  <c r="AI106"/>
  <c r="AH261"/>
  <c r="AH386"/>
  <c r="AH31"/>
  <c r="AI262"/>
  <c r="AI386"/>
  <c r="AI261"/>
  <c r="AH262"/>
  <c r="AI32"/>
  <c r="AH226"/>
  <c r="AI226"/>
  <c r="AM32"/>
  <c r="AQ32"/>
  <c r="AM31"/>
  <c r="AQ31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246"/>
  <c r="AM246"/>
  <c r="AE246"/>
  <c r="AQ246"/>
  <c r="AQ263"/>
  <c r="AE263"/>
  <c r="AM263"/>
  <c r="AF263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263"/>
  <c r="AI263"/>
  <c r="AH246"/>
  <c r="AI246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86"/>
  <c r="AF86"/>
  <c r="AI86"/>
  <c r="AM86"/>
  <c r="AQ86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36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174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136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462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496"/>
  <c r="AI363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49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174"/>
  <c r="AM174"/>
  <c r="AF174"/>
  <c r="AQ174"/>
  <c r="AM175"/>
  <c r="AF175"/>
  <c r="AQ175"/>
  <c r="AE175"/>
  <c r="AH176"/>
  <c r="AH175"/>
  <c r="AH174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136"/>
  <c r="AE136"/>
  <c r="AM136"/>
  <c r="AQ136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49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M53"/>
  <c r="AQ53"/>
  <c r="AE54"/>
  <c r="AF54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361"/>
  <c r="AF361"/>
  <c r="AM361"/>
  <c r="AQ361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462"/>
  <c r="AF462"/>
  <c r="AM462"/>
  <c r="AQ462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364"/>
  <c r="AH143"/>
  <c r="AH373"/>
  <c r="AH496"/>
  <c r="AH497"/>
  <c r="AH370"/>
  <c r="AH363"/>
  <c r="AH360"/>
  <c r="AH361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142"/>
  <c r="AH141"/>
  <c r="AH137"/>
  <c r="AH136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86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36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462"/>
  <c r="AH465"/>
  <c r="AH477"/>
  <c r="AH482"/>
  <c r="AH484"/>
  <c r="AH490"/>
  <c r="AH491"/>
  <c r="AH492"/>
  <c r="AH412"/>
  <c r="AH498"/>
  <c r="AE363"/>
  <c r="AF363"/>
  <c r="AM363"/>
  <c r="AQ363"/>
  <c r="AE364"/>
  <c r="AF364"/>
  <c r="AM364"/>
  <c r="AQ364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43"/>
  <c r="AF143"/>
  <c r="AM143"/>
  <c r="AQ143"/>
  <c r="AE142"/>
  <c r="AF142"/>
  <c r="AM142"/>
  <c r="AQ142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36"/>
  <c r="AF36"/>
  <c r="AM36"/>
  <c r="AQ36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498"/>
  <c r="AF498"/>
  <c r="AM498"/>
  <c r="AQ498"/>
  <c r="AQ496"/>
  <c r="AQ497"/>
  <c r="AE497"/>
  <c r="AE496"/>
  <c r="AF497"/>
  <c r="AM497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31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246"/>
  <c r="AK246" s="1"/>
  <c r="AJ263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174"/>
  <c r="AK174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497"/>
  <c r="AR497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462"/>
  <c r="AK462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498"/>
  <c r="AR498" s="1"/>
  <c r="AJ504"/>
  <c r="AR504" s="1"/>
  <c r="AJ507"/>
  <c r="AR507" s="1"/>
  <c r="AJ508"/>
  <c r="AR508" s="1"/>
  <c r="AJ30"/>
  <c r="AR30" s="1"/>
  <c r="AJ35"/>
  <c r="AR35" s="1"/>
  <c r="AJ36"/>
  <c r="AR36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136"/>
  <c r="AR136" s="1"/>
  <c r="AJ137"/>
  <c r="AR137" s="1"/>
  <c r="AJ141"/>
  <c r="AR141" s="1"/>
  <c r="AJ142"/>
  <c r="AR142" s="1"/>
  <c r="AJ143"/>
  <c r="AR143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361"/>
  <c r="AR361" s="1"/>
  <c r="AJ363"/>
  <c r="AR363" s="1"/>
  <c r="AJ496"/>
  <c r="AR496" s="1"/>
  <c r="AJ373"/>
  <c r="AR373" s="1"/>
  <c r="AJ364"/>
  <c r="AR364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31"/>
  <c r="AL226"/>
  <c r="AR106"/>
  <c r="AK106"/>
  <c r="AK261"/>
  <c r="AR261"/>
  <c r="AK262"/>
  <c r="AR262"/>
  <c r="AR386"/>
  <c r="AK386"/>
  <c r="AK31"/>
  <c r="AR31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246"/>
  <c r="AR294"/>
  <c r="AR153"/>
  <c r="AL263"/>
  <c r="AL294"/>
  <c r="AK263"/>
  <c r="AR263"/>
  <c r="AL230"/>
  <c r="AL246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174"/>
  <c r="AL174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86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361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136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462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36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86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136"/>
  <c r="AL137"/>
  <c r="AL141"/>
  <c r="AL142"/>
  <c r="AL143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361"/>
  <c r="AL363"/>
  <c r="AL364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462"/>
  <c r="AL465"/>
  <c r="AL477"/>
  <c r="AL482"/>
  <c r="AL484"/>
  <c r="AL490"/>
  <c r="AL491"/>
  <c r="AL492"/>
  <c r="AL495"/>
  <c r="AL496"/>
  <c r="AL497"/>
  <c r="AL498"/>
  <c r="AL504"/>
  <c r="AL507"/>
  <c r="AL508"/>
  <c r="AK363"/>
  <c r="AK364"/>
  <c r="AK328"/>
  <c r="AK327"/>
  <c r="AK322"/>
  <c r="AK310"/>
  <c r="AK258"/>
  <c r="AK257"/>
  <c r="AK215"/>
  <c r="AK211"/>
  <c r="AK210"/>
  <c r="AK152"/>
  <c r="AK151"/>
  <c r="AK150"/>
  <c r="AK143"/>
  <c r="AK142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36"/>
  <c r="AK8"/>
  <c r="AK450"/>
  <c r="AK424"/>
  <c r="AK413"/>
  <c r="AK412"/>
  <c r="AK411"/>
  <c r="AK374"/>
  <c r="AK498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31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263"/>
  <c r="AY246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174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364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36"/>
  <c r="AY460"/>
  <c r="AY390"/>
  <c r="AY148"/>
  <c r="AY256"/>
  <c r="AY51"/>
  <c r="AY497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496"/>
  <c r="AY22"/>
  <c r="AY11"/>
  <c r="AY383"/>
  <c r="AY391"/>
  <c r="AY411"/>
  <c r="AY423"/>
  <c r="AY439"/>
  <c r="AY461"/>
  <c r="AY482"/>
  <c r="AY492"/>
  <c r="AY37"/>
  <c r="AY50"/>
  <c r="AY70"/>
  <c r="AY78"/>
  <c r="AY86"/>
  <c r="AY111"/>
  <c r="AY130"/>
  <c r="AY145"/>
  <c r="AY159"/>
  <c r="AY191"/>
  <c r="AY210"/>
  <c r="AY223"/>
  <c r="AY245"/>
  <c r="AY289"/>
  <c r="AY327"/>
  <c r="AY370"/>
  <c r="AY147"/>
  <c r="AY371"/>
  <c r="AY361"/>
  <c r="AY328"/>
  <c r="AY310"/>
  <c r="AY292"/>
  <c r="AY286"/>
  <c r="AY257"/>
  <c r="AY242"/>
  <c r="AY218"/>
  <c r="AY211"/>
  <c r="AY206"/>
  <c r="AY197"/>
  <c r="AY165"/>
  <c r="AY160"/>
  <c r="AY155"/>
  <c r="AY149"/>
  <c r="AY142"/>
  <c r="AY135"/>
  <c r="AY127"/>
  <c r="AY112"/>
  <c r="AY100"/>
  <c r="AY87"/>
  <c r="AY83"/>
  <c r="AY79"/>
  <c r="AY75"/>
  <c r="AY71"/>
  <c r="AY67"/>
  <c r="AY55"/>
  <c r="AY47"/>
  <c r="AY38"/>
  <c r="AY30"/>
  <c r="AY495"/>
  <c r="AY484"/>
  <c r="AY462"/>
  <c r="AY450"/>
  <c r="AY424"/>
  <c r="AY412"/>
  <c r="AY394"/>
  <c r="AY384"/>
  <c r="AY507"/>
  <c r="AY10"/>
  <c r="AY21"/>
  <c r="AY208"/>
  <c r="AY13"/>
  <c r="AY373"/>
  <c r="AY363"/>
  <c r="AY338"/>
  <c r="AY312"/>
  <c r="AY300"/>
  <c r="AY287"/>
  <c r="AY258"/>
  <c r="AY243"/>
  <c r="AY228"/>
  <c r="AY219"/>
  <c r="AY213"/>
  <c r="AY207"/>
  <c r="AY201"/>
  <c r="AY169"/>
  <c r="AY161"/>
  <c r="AY156"/>
  <c r="AY150"/>
  <c r="AY143"/>
  <c r="AY136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498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31"/>
  <c r="AN31" s="1"/>
  <c r="AV31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P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P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263"/>
  <c r="AN263" s="1"/>
  <c r="AV263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246"/>
  <c r="AN246" s="1"/>
  <c r="AP246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174"/>
  <c r="AN174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P54" s="1"/>
  <c r="AX53"/>
  <c r="AN53" s="1"/>
  <c r="AP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P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498"/>
  <c r="AN498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462"/>
  <c r="AN462" s="1"/>
  <c r="AV462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36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136"/>
  <c r="AN136" s="1"/>
  <c r="AV136" s="1"/>
  <c r="AX137"/>
  <c r="AN137" s="1"/>
  <c r="AX141"/>
  <c r="AN141" s="1"/>
  <c r="AX142"/>
  <c r="AN142" s="1"/>
  <c r="AV142" s="1"/>
  <c r="AX143"/>
  <c r="AN143" s="1"/>
  <c r="AV143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361"/>
  <c r="AN361" s="1"/>
  <c r="AV361" s="1"/>
  <c r="AX363"/>
  <c r="AN363" s="1"/>
  <c r="AV363" s="1"/>
  <c r="AX364"/>
  <c r="AN364" s="1"/>
  <c r="AV364" s="1"/>
  <c r="AX370"/>
  <c r="AN370" s="1"/>
  <c r="AX371"/>
  <c r="AN371" s="1"/>
  <c r="AX373"/>
  <c r="AN373" s="1"/>
  <c r="AX497"/>
  <c r="AN497" s="1"/>
  <c r="AV497" s="1"/>
  <c r="AX496"/>
  <c r="AN496" s="1"/>
  <c r="AV496" s="1"/>
  <c r="AO298" l="1"/>
  <c r="AP298"/>
  <c r="AN36"/>
  <c r="AV36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498"/>
  <c r="AV498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174"/>
  <c r="AV174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246"/>
  <c r="AV246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361"/>
  <c r="S136"/>
  <c r="S36"/>
  <c r="S363"/>
  <c r="S462"/>
  <c r="S263"/>
  <c r="S364"/>
  <c r="S31"/>
  <c r="S143"/>
  <c r="S142"/>
  <c r="S497"/>
  <c r="S49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263"/>
  <c r="AO263"/>
  <c r="AP263"/>
  <c r="AT263"/>
  <c r="AU263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31"/>
  <c r="AP31"/>
  <c r="AO31"/>
  <c r="AT31"/>
  <c r="AU31" s="1"/>
  <c r="AW308"/>
  <c r="AT308"/>
  <c r="AU308" s="1"/>
  <c r="AO308"/>
  <c r="AP308"/>
  <c r="AW246"/>
  <c r="AO246"/>
  <c r="AT246"/>
  <c r="AU246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174"/>
  <c r="AO174"/>
  <c r="AP174"/>
  <c r="AT174"/>
  <c r="AU174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364"/>
  <c r="AO364"/>
  <c r="AP364"/>
  <c r="AT364"/>
  <c r="AU364" s="1"/>
  <c r="AO363"/>
  <c r="AP363"/>
  <c r="AW361"/>
  <c r="AO361"/>
  <c r="AP361"/>
  <c r="AT361"/>
  <c r="AU361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43"/>
  <c r="AP143"/>
  <c r="AO142"/>
  <c r="AP142"/>
  <c r="AW141"/>
  <c r="AO141"/>
  <c r="AP141"/>
  <c r="AT141"/>
  <c r="AU141" s="1"/>
  <c r="AW137"/>
  <c r="AO137"/>
  <c r="AP137"/>
  <c r="AT137"/>
  <c r="AU137" s="1"/>
  <c r="AW136"/>
  <c r="AO136"/>
  <c r="AP136"/>
  <c r="AT136"/>
  <c r="AU136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86"/>
  <c r="AO86"/>
  <c r="AP86"/>
  <c r="AT86"/>
  <c r="AU86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36"/>
  <c r="AP36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462"/>
  <c r="AO462"/>
  <c r="AP462"/>
  <c r="AT462"/>
  <c r="AU462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498"/>
  <c r="AP498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496"/>
  <c r="AT23"/>
  <c r="AU23" s="1"/>
  <c r="AO117"/>
  <c r="AO2"/>
  <c r="AW117"/>
  <c r="AW253"/>
  <c r="AW102"/>
  <c r="AO102"/>
  <c r="AO140"/>
  <c r="AO125"/>
  <c r="AW203"/>
  <c r="AT203"/>
  <c r="AU203" s="1"/>
  <c r="AP497"/>
  <c r="AO497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49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496"/>
  <c r="AK497"/>
  <c r="AS504" l="1"/>
  <c r="AS9"/>
  <c r="AS464"/>
  <c r="AS132"/>
  <c r="AS120"/>
  <c r="AS196"/>
  <c r="AS131"/>
  <c r="AS463"/>
  <c r="AS146"/>
  <c r="AS101"/>
  <c r="AS204"/>
  <c r="AS222"/>
  <c r="AS117"/>
  <c r="AS140"/>
  <c r="AS2"/>
  <c r="AS212"/>
  <c r="AS221"/>
  <c r="AS22"/>
  <c r="AS21"/>
  <c r="AS253"/>
  <c r="AS125"/>
  <c r="AS102"/>
  <c r="AS203"/>
  <c r="AS23"/>
  <c r="AS284"/>
  <c r="AS216"/>
  <c r="AS121"/>
  <c r="AS403"/>
  <c r="AS438"/>
  <c r="AS409"/>
  <c r="AS5"/>
  <c r="AS408"/>
  <c r="AS7"/>
  <c r="AS435"/>
  <c r="AS418"/>
  <c r="AS350"/>
  <c r="AS240"/>
  <c r="AS516"/>
  <c r="AS379"/>
  <c r="AS375"/>
  <c r="AS214"/>
  <c r="AS351"/>
  <c r="AS397"/>
  <c r="AS399"/>
  <c r="AS103"/>
  <c r="AS182"/>
  <c r="AS305"/>
  <c r="AS283"/>
  <c r="AS104"/>
  <c r="AS298"/>
  <c r="AS417"/>
  <c r="AS41"/>
  <c r="AS349"/>
  <c r="AS282"/>
  <c r="AS27"/>
  <c r="AS410"/>
  <c r="AS398"/>
  <c r="AS42"/>
  <c r="AS183"/>
  <c r="AS434"/>
  <c r="AS396"/>
  <c r="AS493"/>
  <c r="AS380"/>
  <c r="AS404"/>
  <c r="AS52"/>
  <c r="AS367"/>
  <c r="AS444"/>
  <c r="AS198"/>
  <c r="AS238"/>
  <c r="AS315"/>
  <c r="AS184"/>
  <c r="AS340"/>
  <c r="AS39"/>
  <c r="AS316"/>
  <c r="AS478"/>
  <c r="AS448"/>
  <c r="AS489"/>
  <c r="AS324"/>
  <c r="AS168"/>
  <c r="AS320"/>
  <c r="AS32"/>
  <c r="AS260"/>
  <c r="AS230"/>
  <c r="AS314"/>
  <c r="AS488"/>
  <c r="AS511"/>
  <c r="AS346"/>
  <c r="AS133"/>
  <c r="AS178"/>
  <c r="AS326"/>
  <c r="AS318"/>
  <c r="AS280"/>
  <c r="AS345"/>
  <c r="AS134"/>
  <c r="AS263"/>
  <c r="AS325"/>
  <c r="AS509"/>
  <c r="AS251"/>
  <c r="AS195"/>
  <c r="AS96"/>
  <c r="AS416"/>
  <c r="AS28"/>
  <c r="AS25"/>
  <c r="AS429"/>
  <c r="AS261"/>
  <c r="AS24"/>
  <c r="AS468"/>
  <c r="AS445"/>
  <c r="AS279"/>
  <c r="AS321"/>
  <c r="AS31"/>
  <c r="AS308"/>
  <c r="AS246"/>
  <c r="AS313"/>
  <c r="AS189"/>
  <c r="AS453"/>
  <c r="AS386"/>
  <c r="AS309"/>
  <c r="AS506"/>
  <c r="AS29"/>
  <c r="AS99"/>
  <c r="AS17"/>
  <c r="AS262"/>
  <c r="AS229"/>
  <c r="AS293"/>
  <c r="AS446"/>
  <c r="AS451"/>
  <c r="AS237"/>
  <c r="AS281"/>
  <c r="AS449"/>
  <c r="AS400"/>
  <c r="AS190"/>
  <c r="AS452"/>
  <c r="AS428"/>
  <c r="AS106"/>
  <c r="AS259"/>
  <c r="AS447"/>
  <c r="AS431"/>
  <c r="AS467"/>
  <c r="AS166"/>
  <c r="AS297"/>
  <c r="AS105"/>
  <c r="AS95"/>
  <c r="AS430"/>
  <c r="AS466"/>
  <c r="AS108"/>
  <c r="AS317"/>
  <c r="AS319"/>
  <c r="AS294"/>
  <c r="AS458"/>
  <c r="AS332"/>
  <c r="AS510"/>
  <c r="AS194"/>
  <c r="AS26"/>
  <c r="AS153"/>
  <c r="AS457"/>
  <c r="AS167"/>
  <c r="AS252"/>
  <c r="AS241"/>
  <c r="AS226"/>
  <c r="AS437"/>
  <c r="AS6"/>
  <c r="AS18"/>
  <c r="AS19"/>
  <c r="AS268"/>
  <c r="AS476"/>
  <c r="AS519"/>
  <c r="AS175"/>
  <c r="AS173"/>
  <c r="AS432"/>
  <c r="AS336"/>
  <c r="AS224"/>
  <c r="AS255"/>
  <c r="AS187"/>
  <c r="AS353"/>
  <c r="AS473"/>
  <c r="AS486"/>
  <c r="AS176"/>
  <c r="AS475"/>
  <c r="AS355"/>
  <c r="AS199"/>
  <c r="AS487"/>
  <c r="AS170"/>
  <c r="AS188"/>
  <c r="AS98"/>
  <c r="AS225"/>
  <c r="AS200"/>
  <c r="AS97"/>
  <c r="AS469"/>
  <c r="AS174"/>
  <c r="AS474"/>
  <c r="AS352"/>
  <c r="AS388"/>
  <c r="AS171"/>
  <c r="AS172"/>
  <c r="AS267"/>
  <c r="AS387"/>
  <c r="AS512"/>
  <c r="AS356"/>
  <c r="AS303"/>
  <c r="AS63"/>
  <c r="AS515"/>
  <c r="AS57"/>
  <c r="AS138"/>
  <c r="AS4"/>
  <c r="AS331"/>
  <c r="AS33"/>
  <c r="AS278"/>
  <c r="AS88"/>
  <c r="AS302"/>
  <c r="AS139"/>
  <c r="AS16"/>
  <c r="AS513"/>
  <c r="AS339"/>
  <c r="AS62"/>
  <c r="AS436"/>
  <c r="AS366"/>
  <c r="AS337"/>
  <c r="AS296"/>
  <c r="AS91"/>
  <c r="AS378"/>
  <c r="AS276"/>
  <c r="AS494"/>
  <c r="AS433"/>
  <c r="AS114"/>
  <c r="AS269"/>
  <c r="AS514"/>
  <c r="AS277"/>
  <c r="AS377"/>
  <c r="AS43"/>
  <c r="AS270"/>
  <c r="AS502"/>
  <c r="AS518"/>
  <c r="AS406"/>
  <c r="AS372"/>
  <c r="AS64"/>
  <c r="AS177"/>
  <c r="AS274"/>
  <c r="AS58"/>
  <c r="AS157"/>
  <c r="AS393"/>
  <c r="AS505"/>
  <c r="AS34"/>
  <c r="AS354"/>
  <c r="AS323"/>
  <c r="AS365"/>
  <c r="AS295"/>
  <c r="AS59"/>
  <c r="AS517"/>
  <c r="AS15"/>
  <c r="AS14"/>
  <c r="AS113"/>
  <c r="AS333"/>
  <c r="AS124"/>
  <c r="AS358"/>
  <c r="AS179"/>
  <c r="AS239"/>
  <c r="AS256"/>
  <c r="AS154"/>
  <c r="AS51"/>
  <c r="AS472"/>
  <c r="AS348"/>
  <c r="AS392"/>
  <c r="AS148"/>
  <c r="AS147"/>
  <c r="AS13"/>
  <c r="AS368"/>
  <c r="AS369"/>
  <c r="AS454"/>
  <c r="AS455"/>
  <c r="AS92"/>
  <c r="AS93"/>
  <c r="AS264"/>
  <c r="AS265"/>
  <c r="AS185"/>
  <c r="AS186"/>
  <c r="AS290"/>
  <c r="AS291"/>
  <c r="AS254"/>
  <c r="AS405"/>
  <c r="AS235"/>
  <c r="AS357"/>
  <c r="AS109"/>
  <c r="AS503"/>
  <c r="AS335"/>
  <c r="AS441"/>
  <c r="AS442"/>
  <c r="AS443"/>
  <c r="AS341"/>
  <c r="AS342"/>
  <c r="AS236"/>
  <c r="AS299"/>
  <c r="AS459"/>
  <c r="AS227"/>
  <c r="AS389"/>
  <c r="AS343"/>
  <c r="AS344"/>
  <c r="AS180"/>
  <c r="AS272"/>
  <c r="AS273"/>
  <c r="AS53"/>
  <c r="AS54"/>
  <c r="AS65"/>
  <c r="AS66"/>
  <c r="AS419"/>
  <c r="AS420"/>
  <c r="AS421"/>
  <c r="AS426"/>
  <c r="AS382"/>
  <c r="AS271"/>
  <c r="AS311"/>
  <c r="AS470"/>
  <c r="AS471"/>
  <c r="AS440"/>
  <c r="AS485"/>
  <c r="AS46"/>
  <c r="AS285"/>
  <c r="AS381"/>
  <c r="AS359"/>
  <c r="AS414"/>
  <c r="AS415"/>
  <c r="AS362"/>
  <c r="AS162"/>
  <c r="AS499"/>
  <c r="AS500"/>
  <c r="AS501"/>
  <c r="AS247"/>
  <c r="AS248"/>
  <c r="AS249"/>
  <c r="AS250"/>
  <c r="AS232"/>
  <c r="AS231"/>
  <c r="AS329"/>
  <c r="AS330"/>
  <c r="AS192"/>
  <c r="AS193"/>
  <c r="AS483"/>
  <c r="AS376"/>
  <c r="AS479"/>
  <c r="AS480"/>
  <c r="AS481"/>
  <c r="AS307"/>
  <c r="AS306"/>
  <c r="AS334"/>
  <c r="AS407"/>
  <c r="AS402"/>
  <c r="AS119"/>
  <c r="AS118"/>
  <c r="AS122"/>
  <c r="AS123"/>
  <c r="AS208"/>
  <c r="AS10"/>
  <c r="AS11"/>
  <c r="AS12"/>
  <c r="AS371"/>
  <c r="AS370"/>
  <c r="AS364"/>
  <c r="AS361"/>
  <c r="AS360"/>
  <c r="AS347"/>
  <c r="AS338"/>
  <c r="AS328"/>
  <c r="AS312"/>
  <c r="AS304"/>
  <c r="AS301"/>
  <c r="AS300"/>
  <c r="AS292"/>
  <c r="AS289"/>
  <c r="AS288"/>
  <c r="AS287"/>
  <c r="AS286"/>
  <c r="AS275"/>
  <c r="AS266"/>
  <c r="AS245"/>
  <c r="AS244"/>
  <c r="AS243"/>
  <c r="AS242"/>
  <c r="AS234"/>
  <c r="AS233"/>
  <c r="AS228"/>
  <c r="AS223"/>
  <c r="AS220"/>
  <c r="AS219"/>
  <c r="AS218"/>
  <c r="AS217"/>
  <c r="AS213"/>
  <c r="AS209"/>
  <c r="AS207"/>
  <c r="AS206"/>
  <c r="AS205"/>
  <c r="AS202"/>
  <c r="AS201"/>
  <c r="AS197"/>
  <c r="AS191"/>
  <c r="AS181"/>
  <c r="AS169"/>
  <c r="AS165"/>
  <c r="AS164"/>
  <c r="AS163"/>
  <c r="AS161"/>
  <c r="AS160"/>
  <c r="AS159"/>
  <c r="AS158"/>
  <c r="AS156"/>
  <c r="AS155"/>
  <c r="AS151"/>
  <c r="AS149"/>
  <c r="AS145"/>
  <c r="AS144"/>
  <c r="AS141"/>
  <c r="AS137"/>
  <c r="AS136"/>
  <c r="AS135"/>
  <c r="AS129"/>
  <c r="AS127"/>
  <c r="AS126"/>
  <c r="AS116"/>
  <c r="AS115"/>
  <c r="AS111"/>
  <c r="AS107"/>
  <c r="AS100"/>
  <c r="AS94"/>
  <c r="AS86"/>
  <c r="AS82"/>
  <c r="AS79"/>
  <c r="AS77"/>
  <c r="AS76"/>
  <c r="AS75"/>
  <c r="AS74"/>
  <c r="AS73"/>
  <c r="AS70"/>
  <c r="AS69"/>
  <c r="AS68"/>
  <c r="AS67"/>
  <c r="AS56"/>
  <c r="AS50"/>
  <c r="AS49"/>
  <c r="AS48"/>
  <c r="AS47"/>
  <c r="AS45"/>
  <c r="AS44"/>
  <c r="AS40"/>
  <c r="AS38"/>
  <c r="AS37"/>
  <c r="AS35"/>
  <c r="AS20"/>
  <c r="AS3"/>
  <c r="AS495"/>
  <c r="AS492"/>
  <c r="AS491"/>
  <c r="AS490"/>
  <c r="AS484"/>
  <c r="AS482"/>
  <c r="AS477"/>
  <c r="AS465"/>
  <c r="AS462"/>
  <c r="AS461"/>
  <c r="AS460"/>
  <c r="AS456"/>
  <c r="AS439"/>
  <c r="AS427"/>
  <c r="AS425"/>
  <c r="AS423"/>
  <c r="AS422"/>
  <c r="AS412"/>
  <c r="AS401"/>
  <c r="AS395"/>
  <c r="AS394"/>
  <c r="AS391"/>
  <c r="AS390"/>
  <c r="AS385"/>
  <c r="AS384"/>
  <c r="AS383"/>
  <c r="AS508"/>
  <c r="AS507"/>
  <c r="AW363"/>
  <c r="AT363"/>
  <c r="AU363" s="1"/>
  <c r="AS363" s="1"/>
  <c r="AW496" l="1"/>
  <c r="AT496"/>
  <c r="AW497"/>
  <c r="AT497"/>
  <c r="AU497" s="1"/>
  <c r="AS497" s="1"/>
  <c r="AW498"/>
  <c r="AT498"/>
  <c r="AU498" s="1"/>
  <c r="AS498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36"/>
  <c r="AT36"/>
  <c r="AU36" s="1"/>
  <c r="AS36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43"/>
  <c r="AT143"/>
  <c r="AU143" s="1"/>
  <c r="AS143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142"/>
  <c r="AU496"/>
  <c r="AS496" s="1"/>
  <c r="AU142" l="1"/>
  <c r="AS142" s="1"/>
  <c r="AW142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deleted="1" background="1" saveData="1">
    <webPr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3" deleted="1" background="1" saveData="1">
    <webPr xl2000="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deleted="1" background="1" saveData="1">
    <webPr xl2000="1" htmlTables="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deleted="1" background="1" saveData="1">
    <webPr xl2000="1" htmlTables="1" htmlFormat="all"/>
  </connection>
  <connection id="170" name="Conexão166" type="4" refreshedVersion="3" deleted="1" background="1" saveData="1">
    <webPr xl2000="1" htmlTables="1" htmlFormat="all"/>
  </connection>
  <connection id="171" name="Conexão1661" type="4" refreshedVersion="3" deleted="1" background="1" saveData="1">
    <webPr xl2000="1" htmlTables="1" htmlFormat="all"/>
  </connection>
  <connection id="172" name="Conexão168" type="4" refreshedVersion="3" deleted="1" background="1" saveData="1">
    <webPr xl2000="1" htmlTables="1" htmlFormat="all"/>
  </connection>
  <connection id="173" name="Conexão1681" type="4" refreshedVersion="3" deleted="1" background="1" saveData="1">
    <webPr xl2000="1" htmlTables="1" htmlFormat="all"/>
  </connection>
  <connection id="174" name="Conexão169" type="4" refreshedVersion="3" deleted="1" background="1" saveData="1">
    <webPr xl2000="1" htmlTables="1" htmlFormat="all"/>
  </connection>
  <connection id="17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6" name="Conexão170" type="4" refreshedVersion="3" deleted="1" background="1" saveData="1">
    <webPr xl2000="1" htmlTables="1" htmlFormat="all"/>
  </connection>
  <connection id="177" name="Conexão171" type="4" refreshedVersion="0" deleted="1" background="1" saveData="1">
    <webPr htmlTables="1" htmlFormat="all"/>
  </connection>
  <connection id="178" name="Conexão1711" type="4" refreshedVersion="0" deleted="1" background="1" saveData="1">
    <webPr htmlTables="1" htmlFormat="all"/>
  </connection>
  <connection id="179" name="Conexão172" type="4" refreshedVersion="0" deleted="1" background="1" saveData="1">
    <webPr htmlTables="1" htmlFormat="all"/>
  </connection>
  <connection id="180" name="Conexão1721" type="4" refreshedVersion="0" deleted="1" background="1" saveData="1">
    <webPr htmlTables="1" htmlFormat="all"/>
  </connection>
  <connection id="181" name="Conexão173" type="4" refreshedVersion="3" deleted="1" background="1" saveData="1">
    <webPr xl2000="1" htmlTables="1" htmlFormat="all"/>
  </connection>
  <connection id="182" name="Conexão1731" type="4" refreshedVersion="3" deleted="1" background="1" saveData="1">
    <webPr xl2000="1" htmlTables="1" htmlFormat="all"/>
  </connection>
  <connection id="183" name="Conexão174" type="4" refreshedVersion="3" deleted="1" background="1" saveData="1">
    <webPr xl2000="1" htmlTables="1" htmlFormat="all"/>
  </connection>
  <connection id="184" name="Conexão175" type="4" refreshedVersion="3" deleted="1" background="1" saveData="1">
    <webPr xl2000="1" htmlTables="1" htmlFormat="all"/>
  </connection>
  <connection id="185" name="Conexão1751" type="4" refreshedVersion="3" deleted="1" background="1" saveData="1">
    <webPr xl2000="1" htmlTables="1" htmlFormat="all"/>
  </connection>
  <connection id="186" name="Conexão176" type="4" refreshedVersion="3" deleted="1" background="1" saveData="1">
    <webPr xl2000="1" htmlTables="1" htmlFormat="all"/>
  </connection>
  <connection id="187" name="Conexão1761" type="4" refreshedVersion="3" deleted="1" background="1" saveData="1">
    <webPr xl2000="1" htmlTables="1" htmlFormat="all"/>
  </connection>
  <connection id="188" name="Conexão177" type="4" refreshedVersion="3" deleted="1" background="1" saveData="1">
    <webPr xl2000="1" htmlTables="1" htmlFormat="all"/>
  </connection>
  <connection id="189" name="Conexão1771" type="4" refreshedVersion="3" deleted="1" background="1" saveData="1">
    <webPr xl2000="1" htmlTables="1" htmlFormat="all"/>
  </connection>
  <connection id="190" name="Conexão178" type="4" refreshedVersion="3" deleted="1" background="1" saveData="1">
    <webPr xl2000="1" htmlTables="1" htmlFormat="all"/>
  </connection>
  <connection id="191" name="Conexão1781" type="4" refreshedVersion="3" deleted="1" background="1" saveData="1">
    <webPr xl2000="1" htmlTables="1" htmlFormat="all"/>
  </connection>
  <connection id="192" name="Conexão179" type="4" refreshedVersion="3" deleted="1" background="1" saveData="1">
    <webPr xl2000="1" htmlTables="1" htmlFormat="all"/>
  </connection>
  <connection id="193" name="Conexão1791" type="4" refreshedVersion="3" deleted="1" background="1" saveData="1">
    <webPr xl2000="1" htmlTables="1" htmlFormat="all"/>
  </connection>
  <connection id="19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5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2" type="4" refreshedVersion="0" deleted="1" background="1" saveData="1">
    <webPr htmlTables="1" htmlFormat="all"/>
  </connection>
  <connection id="199" name="Conexão1821" type="4" refreshedVersion="0" deleted="1" background="1" saveData="1">
    <webPr htmlTables="1" htmlFormat="all"/>
  </connection>
  <connection id="200" name="Conexão183" type="4" refreshedVersion="3" deleted="1" background="1" saveData="1">
    <webPr xl2000="1" htmlTables="1" htmlFormat="all"/>
  </connection>
  <connection id="201" name="Conexão1831" type="4" refreshedVersion="3" deleted="1" background="1" saveData="1">
    <webPr xl2000="1" htmlTables="1" htmlFormat="all"/>
  </connection>
  <connection id="202" name="Conexão184" type="4" refreshedVersion="3" deleted="1" background="1" saveData="1">
    <webPr xl2000="1" htmlTables="1" htmlFormat="all"/>
  </connection>
  <connection id="203" name="Conexão1841" type="4" refreshedVersion="3" deleted="1" background="1" saveData="1">
    <webPr xl2000="1" htmlTables="1" htmlFormat="all"/>
  </connection>
  <connection id="204" name="Conexão185" type="4" refreshedVersion="3" deleted="1" background="1" saveData="1">
    <webPr xl2000="1" htmlTables="1" htmlFormat="all"/>
  </connection>
  <connection id="205" name="Conexão1851" type="4" refreshedVersion="3" deleted="1" background="1" saveData="1">
    <webPr xl2000="1" htmlTables="1" htmlFormat="all"/>
  </connection>
  <connection id="206" name="Conexão186" type="4" refreshedVersion="3" deleted="1" background="1" saveData="1">
    <webPr xl2000="1" htmlTables="1" htmlFormat="all"/>
  </connection>
  <connection id="207" name="Conexão1861" type="4" refreshedVersion="3" deleted="1" background="1" saveData="1">
    <webPr xl2000="1" htmlTables="1" htmlFormat="all"/>
  </connection>
  <connection id="208" name="Conexão189" type="4" refreshedVersion="3" deleted="1" background="1" saveData="1">
    <webPr xl2000="1" htmlTables="1" htmlFormat="all"/>
  </connection>
  <connection id="209" name="Conexão1891" type="4" refreshedVersion="3" deleted="1" background="1" saveData="1">
    <webPr xl2000="1" htmlTables="1" htmlFormat="all"/>
  </connection>
  <connection id="21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1" name="Conexão190" type="4" refreshedVersion="3" deleted="1" background="1" saveData="1">
    <webPr xl2000="1" htmlTables="1" htmlFormat="all"/>
  </connection>
  <connection id="212" name="Conexão1901" type="4" refreshedVersion="3" deleted="1" background="1" saveData="1">
    <webPr xl2000="1" htmlTables="1" htmlFormat="all"/>
  </connection>
  <connection id="21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4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2" type="4" refreshedVersion="0" deleted="1" background="1" saveData="1">
    <webPr htmlTables="1" htmlFormat="all"/>
  </connection>
  <connection id="216" name="Conexão1921" type="4" refreshedVersion="0" deleted="1" background="1" saveData="1">
    <webPr htmlTables="1" htmlFormat="all"/>
  </connection>
  <connection id="217" name="Conexão193" type="4" refreshedVersion="3" deleted="1" background="1" saveData="1">
    <webPr xl2000="1" htmlTables="1" htmlFormat="all"/>
  </connection>
  <connection id="218" name="Conexão1931" type="4" refreshedVersion="3" deleted="1" background="1" saveData="1">
    <webPr xl2000="1" htmlTables="1" htmlFormat="all"/>
  </connection>
  <connection id="219" name="Conexão195" type="4" refreshedVersion="3" deleted="1" background="1" saveData="1">
    <webPr xl2000="1" htmlTables="1" htmlFormat="all"/>
  </connection>
  <connection id="220" name="Conexão1951" type="4" refreshedVersion="3" deleted="1" background="1" saveData="1">
    <webPr xl2000="1" htmlTables="1" htmlFormat="all"/>
  </connection>
  <connection id="221" name="Conexão196" type="4" refreshedVersion="3" deleted="1" background="1" saveData="1">
    <webPr xl2000="1" htmlTables="1" htmlFormat="all"/>
  </connection>
  <connection id="222" name="Conexão1961" type="4" refreshedVersion="3" deleted="1" background="1" saveData="1">
    <webPr xl2000="1" htmlTables="1" htmlFormat="all"/>
  </connection>
  <connection id="223" name="Conexão197" type="4" refreshedVersion="3" deleted="1" background="1" saveData="1">
    <webPr xl2000="1" htmlTables="1" htmlFormat="all"/>
  </connection>
  <connection id="224" name="Conexão1971" type="4" refreshedVersion="3" deleted="1" background="1" saveData="1">
    <webPr xl2000="1" htmlTables="1" htmlFormat="all"/>
  </connection>
  <connection id="225" name="Conexão199" type="4" refreshedVersion="3" deleted="1" background="1" saveData="1">
    <webPr xl2000="1" htmlTables="1" htmlFormat="all"/>
  </connection>
  <connection id="226" name="Conexão2" type="4" refreshedVersion="0" background="1" saveData="1">
    <webPr url="http://download.finance.yahoo.com/d/quotes.csv?s=PITI3.SA+BPAC3.SA+BPAC5.SA&amp;f=nol1hgd1" htmlTables="1" htmlFormat="all"/>
  </connection>
  <connection id="22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8" name="Conexão200" type="4" refreshedVersion="3" deleted="1" background="1" saveData="1">
    <webPr xl2000="1" htmlTables="1" htmlFormat="all"/>
  </connection>
  <connection id="229" name="Conexão2001" type="4" refreshedVersion="3" deleted="1" background="1" saveData="1">
    <webPr xl2000="1" htmlTables="1" htmlFormat="all"/>
  </connection>
  <connection id="23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1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2" type="4" refreshedVersion="0" deleted="1" background="1" saveData="1">
    <webPr htmlTables="1" htmlFormat="all"/>
  </connection>
  <connection id="233" name="Conexão2021" type="4" refreshedVersion="0" deleted="1" background="1" saveData="1">
    <webPr htmlTables="1" htmlFormat="all"/>
  </connection>
  <connection id="234" name="Conexão203" type="4" refreshedVersion="3" deleted="1" background="1" saveData="1">
    <webPr xl2000="1" htmlTables="1" htmlFormat="all"/>
  </connection>
  <connection id="235" name="Conexão2031" type="4" refreshedVersion="3" deleted="1" background="1" saveData="1">
    <webPr xl2000="1" htmlTables="1" htmlFormat="all"/>
  </connection>
  <connection id="236" name="Conexão204" type="4" refreshedVersion="3" deleted="1" background="1" saveData="1">
    <webPr xl2000="1" htmlTables="1" htmlFormat="all"/>
  </connection>
  <connection id="237" name="Conexão205" type="4" refreshedVersion="3" deleted="1" background="1" saveData="1">
    <webPr xl2000="1" htmlTables="1" htmlFormat="all"/>
  </connection>
  <connection id="238" name="Conexão206" type="4" refreshedVersion="3" deleted="1" background="1" saveData="1">
    <webPr xl2000="1" htmlTables="1" htmlFormat="all"/>
  </connection>
  <connection id="239" name="Conexão2061" type="4" refreshedVersion="3" deleted="1" background="1" saveData="1">
    <webPr xl2000="1" htmlTables="1" htmlFormat="all"/>
  </connection>
  <connection id="240" name="Conexão207" type="4" refreshedVersion="3" deleted="1" background="1" saveData="1">
    <webPr xl2000="1" htmlTables="1" htmlFormat="all"/>
  </connection>
  <connection id="241" name="Conexão208" type="4" refreshedVersion="3" deleted="1" background="1" saveData="1">
    <webPr xl2000="1" htmlTables="1" htmlFormat="all"/>
  </connection>
  <connection id="242" name="Conexão2081" type="4" refreshedVersion="3" deleted="1" background="1" saveData="1">
    <webPr xl2000="1" htmlTables="1" htmlFormat="all"/>
  </connection>
  <connection id="243" name="Conexão209" type="4" refreshedVersion="3" deleted="1" background="1" saveData="1">
    <webPr xl2000="1" htmlTables="1" htmlFormat="all"/>
  </connection>
  <connection id="24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5" name="Conexão210" type="4" refreshedVersion="0" background="1" saveData="1">
    <webPr url="http://download.finance.yahoo.com/d/quotes.csv?s=PITI3.SA+BPAC3.SA+BPAC5.SA&amp;f=nol1hgd1" htmlTables="1" htmlFormat="all"/>
  </connection>
  <connection id="246" name="Conexão2101" type="4" refreshedVersion="0" background="1" saveData="1">
    <webPr url="http://download.finance.yahoo.com/d/quotes.csv?s=PITI3.SA+BPAC3.SA+BPAC5.SA&amp;f=nol1hgd1" htmlTables="1" htmlFormat="all"/>
  </connection>
  <connection id="247" name="Conexão21011" type="4" refreshedVersion="0" background="1" saveData="1">
    <webPr url="http://download.finance.yahoo.com/d/quotes.csv?s=PITI3.SA+BPAC3.SA+BPAC5.SA&amp;f=nol1hgd1" htmlTables="1" htmlFormat="all"/>
  </connection>
  <connection id="248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9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2" type="4" refreshedVersion="0" deleted="1" background="1" saveData="1">
    <webPr htmlTables="1" htmlFormat="all"/>
  </connection>
  <connection id="251" name="Conexão2121" type="4" refreshedVersion="0" deleted="1" background="1" saveData="1">
    <webPr htmlTables="1" htmlFormat="all"/>
  </connection>
  <connection id="252" name="Conexão213" type="4" refreshedVersion="0" deleted="1" background="1" saveData="1">
    <webPr htmlTables="1" htmlFormat="all"/>
  </connection>
  <connection id="253" name="Conexão2131" type="4" refreshedVersion="0" deleted="1" background="1" saveData="1">
    <webPr htmlTables="1" htmlFormat="all"/>
  </connection>
  <connection id="254" name="Conexão214" type="4" refreshedVersion="0" deleted="1" background="1" saveData="1">
    <webPr htmlTables="1" htmlFormat="all"/>
  </connection>
  <connection id="255" name="Conexão2141" type="4" refreshedVersion="0" deleted="1" background="1" saveData="1">
    <webPr htmlTables="1" htmlFormat="all"/>
  </connection>
  <connection id="256" name="Conexão215" type="4" refreshedVersion="0" deleted="1" background="1" saveData="1">
    <webPr htmlTables="1" htmlFormat="all"/>
  </connection>
  <connection id="257" name="Conexão2151" type="4" refreshedVersion="0" deleted="1" background="1" saveData="1">
    <webPr htmlTables="1" htmlFormat="all"/>
  </connection>
  <connection id="258" name="Conexão216" type="4" refreshedVersion="0" deleted="1" background="1" saveData="1">
    <webPr htmlTables="1" htmlFormat="all"/>
  </connection>
  <connection id="259" name="Conexão2161" type="4" refreshedVersion="0" deleted="1" background="1" saveData="1">
    <webPr htmlTables="1" htmlFormat="all"/>
  </connection>
  <connection id="260" name="Conexão217" type="4" refreshedVersion="3" deleted="1" background="1" saveData="1">
    <webPr xl2000="1" htmlTables="1" htmlFormat="all"/>
  </connection>
  <connection id="261" name="Conexão2171" type="4" refreshedVersion="3" deleted="1" background="1" saveData="1">
    <webPr xl2000="1" htmlTables="1" htmlFormat="all"/>
  </connection>
  <connection id="262" name="Conexão218" type="4" refreshedVersion="3" deleted="1" background="1" saveData="1">
    <webPr xl2000="1" htmlTables="1" htmlFormat="all"/>
  </connection>
  <connection id="263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4" name="Conexão220" type="4" refreshedVersion="3" deleted="1" background="1" saveData="1">
    <webPr xl2000="1" htmlTables="1" htmlFormat="all"/>
  </connection>
  <connection id="265" name="Conexão2201" type="4" refreshedVersion="3" deleted="1" background="1" saveData="1">
    <webPr xl2000="1" htmlTables="1" htmlFormat="all"/>
  </connection>
  <connection id="266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7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2" type="4" refreshedVersion="0" deleted="1" background="1" saveData="1">
    <webPr htmlTables="1" htmlFormat="all"/>
  </connection>
  <connection id="269" name="Conexão2221" type="4" refreshedVersion="0" deleted="1" background="1" saveData="1">
    <webPr htmlTables="1" htmlFormat="all"/>
  </connection>
  <connection id="270" name="Conexão223" type="4" refreshedVersion="3" deleted="1" background="1" saveData="1">
    <webPr xl2000="1" htmlTables="1" htmlFormat="all"/>
  </connection>
  <connection id="271" name="Conexão226" type="4" refreshedVersion="3" deleted="1" background="1" saveData="1">
    <webPr xl2000="1" htmlTables="1" htmlFormat="all"/>
  </connection>
  <connection id="272" name="Conexão2261" type="4" refreshedVersion="3" deleted="1" background="1" saveData="1">
    <webPr xl2000="1" htmlTables="1" htmlFormat="all"/>
  </connection>
  <connection id="273" name="Conexão227" type="4" refreshedVersion="3" deleted="1" background="1" saveData="1">
    <webPr xl2000="1" htmlTables="1" htmlFormat="all"/>
  </connection>
  <connection id="274" name="Conexão2271" type="4" refreshedVersion="3" deleted="1" background="1" saveData="1">
    <webPr xl2000="1" htmlTables="1" htmlFormat="all"/>
  </connection>
  <connection id="275" name="Conexão228" type="4" refreshedVersion="3" deleted="1" background="1" saveData="1">
    <webPr xl2000="1" htmlTables="1" htmlFormat="all"/>
  </connection>
  <connection id="27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7" name="Conexão230" type="4" refreshedVersion="3" deleted="1" background="1" saveData="1">
    <webPr xl2000="1" htmlTables="1" htmlFormat="all"/>
  </connection>
  <connection id="278" name="Conexão231" type="4" refreshedVersion="0" deleted="1" background="1" saveData="1">
    <webPr htmlTables="1" htmlFormat="all"/>
  </connection>
  <connection id="279" name="Conexão2311" type="4" refreshedVersion="0" deleted="1" background="1" saveData="1">
    <webPr htmlTables="1" htmlFormat="all"/>
  </connection>
  <connection id="280" name="Conexão232" type="4" refreshedVersion="0" deleted="1" background="1" saveData="1">
    <webPr htmlTables="1" htmlFormat="all"/>
  </connection>
  <connection id="281" name="Conexão2321" type="4" refreshedVersion="0" deleted="1" background="1" saveData="1">
    <webPr htmlTables="1" htmlFormat="all"/>
  </connection>
  <connection id="282" name="Conexão233" type="4" refreshedVersion="3" deleted="1" background="1" saveData="1">
    <webPr xl2000="1" htmlTables="1" htmlFormat="all"/>
  </connection>
  <connection id="283" name="Conexão2331" type="4" refreshedVersion="3" deleted="1" background="1" saveData="1">
    <webPr xl2000="1" htmlTables="1" htmlFormat="all"/>
  </connection>
  <connection id="284" name="Conexão235" type="4" refreshedVersion="3" deleted="1" background="1" saveData="1">
    <webPr xl2000="1" htmlTables="1" htmlFormat="all"/>
  </connection>
  <connection id="285" name="Conexão2351" type="4" refreshedVersion="3" deleted="1" background="1" saveData="1">
    <webPr xl2000="1" htmlTables="1" htmlFormat="all"/>
  </connection>
  <connection id="286" name="Conexão238" type="4" refreshedVersion="3" deleted="1" background="1" saveData="1">
    <webPr xl2000="1" htmlTables="1" htmlFormat="all"/>
  </connection>
  <connection id="287" name="Conexão2381" type="4" refreshedVersion="3" deleted="1" background="1" saveData="1">
    <webPr xl2000="1" htmlTables="1" htmlFormat="all"/>
  </connection>
  <connection id="28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89" name="Conexão240" type="4" refreshedVersion="3" deleted="1" background="1" saveData="1">
    <webPr xl2000="1" htmlTables="1" htmlFormat="all"/>
  </connection>
  <connection id="29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2" type="4" refreshedVersion="0" deleted="1" background="1" saveData="1">
    <webPr htmlTables="1" htmlFormat="all"/>
  </connection>
  <connection id="293" name="Conexão2421" type="4" refreshedVersion="0" deleted="1" background="1" saveData="1">
    <webPr htmlTables="1" htmlFormat="all"/>
  </connection>
  <connection id="294" name="Conexão243" type="4" refreshedVersion="3" deleted="1" background="1" saveData="1">
    <webPr xl2000="1" htmlTables="1" htmlFormat="all"/>
  </connection>
  <connection id="295" name="Conexão2431" type="4" refreshedVersion="3" deleted="1" background="1" saveData="1">
    <webPr xl2000="1" htmlTables="1" htmlFormat="all"/>
  </connection>
  <connection id="296" name="Conexão244" type="4" refreshedVersion="3" deleted="1" background="1" saveData="1">
    <webPr xl2000="1" htmlTables="1" htmlFormat="all"/>
  </connection>
  <connection id="297" name="Conexão245" type="4" refreshedVersion="3" deleted="1" background="1" saveData="1">
    <webPr xl2000="1" htmlTables="1" htmlFormat="all"/>
  </connection>
  <connection id="298" name="Conexão246" type="4" refreshedVersion="3" deleted="1" background="1" saveData="1">
    <webPr xl2000="1" htmlTables="1" htmlFormat="all"/>
  </connection>
  <connection id="299" name="Conexão2461" type="4" refreshedVersion="3" deleted="1" background="1" saveData="1">
    <webPr xl2000="1" htmlTables="1" htmlFormat="all"/>
  </connection>
  <connection id="300" name="Conexão248" type="4" refreshedVersion="3" deleted="1" background="1" saveData="1">
    <webPr xl2000="1" htmlTables="1" htmlFormat="all"/>
  </connection>
  <connection id="301" name="Conexão249" type="4" refreshedVersion="3" deleted="1" background="1" saveData="1">
    <webPr xl2000="1" htmlTables="1" htmlFormat="all"/>
  </connection>
  <connection id="302" name="Conexão2491" type="4" refreshedVersion="3" deleted="1" background="1" saveData="1">
    <webPr xl2000="1" htmlTables="1" htmlFormat="all"/>
  </connection>
  <connection id="30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4" name="Conexão250" type="4" refreshedVersion="3" deleted="1" background="1" saveData="1">
    <webPr xl2000="1" htmlTables="1" htmlFormat="all"/>
  </connection>
  <connection id="305" name="Conexão251" type="4" refreshedVersion="0" deleted="1" background="1" saveData="1">
    <webPr htmlTables="1" htmlFormat="all"/>
  </connection>
  <connection id="306" name="Conexão2511" type="4" refreshedVersion="0" deleted="1" background="1" saveData="1">
    <webPr htmlTables="1" htmlFormat="all"/>
  </connection>
  <connection id="307" name="Conexão252" type="4" refreshedVersion="0" deleted="1" background="1" saveData="1">
    <webPr htmlTables="1" htmlFormat="all"/>
  </connection>
  <connection id="308" name="Conexão2521" type="4" refreshedVersion="0" deleted="1" background="1" saveData="1">
    <webPr htmlTables="1" htmlFormat="all"/>
  </connection>
  <connection id="309" name="Conexão253" type="4" refreshedVersion="3" deleted="1" background="1" saveData="1">
    <webPr xl2000="1" htmlTables="1" htmlFormat="all"/>
  </connection>
  <connection id="310" name="Conexão2531" type="4" refreshedVersion="3" deleted="1" background="1" saveData="1">
    <webPr xl2000="1" htmlTables="1" htmlFormat="all"/>
  </connection>
  <connection id="311" name="Conexão254" type="4" refreshedVersion="3" deleted="1" background="1" saveData="1">
    <webPr xl2000="1" htmlTables="1" htmlFormat="all"/>
  </connection>
  <connection id="312" name="Conexão255" type="4" refreshedVersion="3" deleted="1" background="1" saveData="1">
    <webPr xl2000="1" htmlTables="1" htmlFormat="all"/>
  </connection>
  <connection id="313" name="Conexão2551" type="4" refreshedVersion="3" deleted="1" background="1" saveData="1">
    <webPr xl2000="1" htmlTables="1" htmlFormat="all"/>
  </connection>
  <connection id="314" name="Conexão256" type="4" refreshedVersion="3" deleted="1" background="1" saveData="1">
    <webPr xl2000="1" htmlTables="1" htmlFormat="all"/>
  </connection>
  <connection id="315" name="Conexão257" type="4" refreshedVersion="3" deleted="1" background="1" saveData="1">
    <webPr xl2000="1" htmlTables="1" htmlFormat="all"/>
  </connection>
  <connection id="316" name="Conexão2571" type="4" refreshedVersion="3" deleted="1" background="1" saveData="1">
    <webPr xl2000="1" htmlTables="1" htmlFormat="all"/>
  </connection>
  <connection id="317" name="Conexão258" type="4" refreshedVersion="3" deleted="1" background="1" saveData="1">
    <webPr xl2000="1" htmlTables="1" htmlFormat="all"/>
  </connection>
  <connection id="318" name="Conexão259" type="4" refreshedVersion="3" deleted="1" background="1" saveData="1">
    <webPr xl2000="1" htmlTables="1" htmlFormat="all"/>
  </connection>
  <connection id="319" name="Conexão2591" type="4" refreshedVersion="3" deleted="1" background="1" saveData="1">
    <webPr xl2000="1" htmlTables="1" htmlFormat="all"/>
  </connection>
  <connection id="32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1" name="Conexão260" type="4" refreshedVersion="3" deleted="1" background="1" saveData="1">
    <webPr xl2000="1" htmlTables="1" htmlFormat="all"/>
  </connection>
  <connection id="322" name="Conexão261" type="4" refreshedVersion="0" deleted="1" background="1" saveData="1">
    <webPr htmlTables="1" htmlFormat="all"/>
  </connection>
  <connection id="323" name="Conexão2611" type="4" refreshedVersion="0" deleted="1" background="1" saveData="1">
    <webPr htmlTables="1" htmlFormat="all"/>
  </connection>
  <connection id="324" name="Conexão262" type="4" refreshedVersion="0" deleted="1" background="1" saveData="1">
    <webPr htmlTables="1" htmlFormat="all"/>
  </connection>
  <connection id="325" name="Conexão2621" type="4" refreshedVersion="0" deleted="1" background="1" saveData="1">
    <webPr htmlTables="1" htmlFormat="all"/>
  </connection>
  <connection id="326" name="Conexão264" type="4" refreshedVersion="3" deleted="1" background="1" saveData="1">
    <webPr xl2000="1" htmlTables="1" htmlFormat="all"/>
  </connection>
  <connection id="327" name="Conexão2641" type="4" refreshedVersion="3" deleted="1" background="1" saveData="1">
    <webPr xl2000="1" htmlTables="1" htmlFormat="all"/>
  </connection>
  <connection id="328" name="Conexão265" type="4" refreshedVersion="3" deleted="1" background="1" saveData="1">
    <webPr xl2000="1" htmlTables="1" htmlFormat="all"/>
  </connection>
  <connection id="329" name="Conexão266" type="4" refreshedVersion="3" deleted="1" background="1" saveData="1">
    <webPr xl2000="1" htmlTables="1" htmlFormat="all"/>
  </connection>
  <connection id="330" name="Conexão269" type="4" refreshedVersion="3" deleted="1" background="1" saveData="1">
    <webPr xl2000="1" htmlTables="1" htmlFormat="all"/>
  </connection>
  <connection id="331" name="Conexão2691" type="4" refreshedVersion="3" deleted="1" background="1" saveData="1">
    <webPr xl2000="1" htmlTables="1" htmlFormat="all"/>
  </connection>
  <connection id="33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3" name="Conexão270" type="4" refreshedVersion="3" deleted="1" background="1" saveData="1">
    <webPr xl2000="1" htmlTables="1" htmlFormat="all"/>
  </connection>
  <connection id="334" name="Conexão2701" type="4" refreshedVersion="3" deleted="1" background="1" saveData="1">
    <webPr xl2000="1" htmlTables="1" htmlFormat="all"/>
  </connection>
  <connection id="33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2" type="4" refreshedVersion="0" deleted="1" background="1" saveData="1">
    <webPr htmlTables="1" htmlFormat="all"/>
  </connection>
  <connection id="339" name="Conexão2721" type="4" refreshedVersion="0" deleted="1" background="1" saveData="1">
    <webPr htmlTables="1" htmlFormat="all"/>
  </connection>
  <connection id="340" name="Conexão274" type="4" refreshedVersion="3" deleted="1" background="1" saveData="1">
    <webPr xl2000="1" htmlTables="1" htmlFormat="all"/>
  </connection>
  <connection id="341" name="Conexão275" type="4" refreshedVersion="3" deleted="1" background="1" saveData="1">
    <webPr xl2000="1" htmlTables="1" htmlFormat="all"/>
  </connection>
  <connection id="342" name="Conexão276" type="4" refreshedVersion="3" deleted="1" background="1" saveData="1">
    <webPr xl2000="1" htmlTables="1" htmlFormat="all"/>
  </connection>
  <connection id="343" name="Conexão2761" type="4" refreshedVersion="3" deleted="1" background="1" saveData="1">
    <webPr xl2000="1" htmlTables="1" htmlFormat="all"/>
  </connection>
  <connection id="344" name="Conexão277" type="4" refreshedVersion="3" deleted="1" background="1" saveData="1">
    <webPr xl2000="1" htmlTables="1" htmlFormat="all"/>
  </connection>
  <connection id="345" name="Conexão278" type="4" refreshedVersion="3" deleted="1" background="1" saveData="1">
    <webPr xl2000="1" htmlTables="1" htmlFormat="all"/>
  </connection>
  <connection id="346" name="Conexão2781" type="4" refreshedVersion="3" deleted="1" background="1" saveData="1">
    <webPr xl2000="1" htmlTables="1" htmlFormat="all"/>
  </connection>
  <connection id="34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8" name="Conexão280" type="4" refreshedVersion="3" deleted="1" background="1" saveData="1">
    <webPr xl2000="1" htmlTables="1" htmlFormat="all"/>
  </connection>
  <connection id="34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2" type="4" refreshedVersion="0" deleted="1" background="1" saveData="1">
    <webPr htmlTables="1" htmlFormat="all"/>
  </connection>
  <connection id="352" name="Conexão2821" type="4" refreshedVersion="0" deleted="1" background="1" saveData="1">
    <webPr htmlTables="1" htmlFormat="all"/>
  </connection>
  <connection id="353" name="Conexão283" type="4" refreshedVersion="3" deleted="1" background="1" saveData="1">
    <webPr xl2000="1" htmlTables="1" htmlFormat="all"/>
  </connection>
  <connection id="354" name="Conexão2831" type="4" refreshedVersion="3" deleted="1" background="1" saveData="1">
    <webPr xl2000="1" htmlTables="1" htmlFormat="all"/>
  </connection>
  <connection id="355" name="Conexão284" type="4" refreshedVersion="3" deleted="1" background="1" saveData="1">
    <webPr xl2000="1" htmlTables="1" htmlFormat="all"/>
  </connection>
  <connection id="356" name="Conexão287" type="4" refreshedVersion="3" deleted="1" background="1" saveData="1">
    <webPr xl2000="1" htmlTables="1" htmlFormat="all"/>
  </connection>
  <connection id="357" name="Conexão2871" type="4" refreshedVersion="3" deleted="1" background="1" saveData="1">
    <webPr xl2000="1" htmlTables="1" htmlFormat="all"/>
  </connection>
  <connection id="358" name="Conexão288" type="4" refreshedVersion="3" deleted="1" background="1" saveData="1">
    <webPr xl2000="1" htmlTables="1" htmlFormat="all"/>
  </connection>
  <connection id="359" name="Conexão289" type="4" refreshedVersion="3" deleted="1" background="1" saveData="1">
    <webPr xl2000="1" htmlTables="1" htmlFormat="all"/>
  </connection>
  <connection id="360" name="Conexão2891" type="4" refreshedVersion="3" deleted="1" background="1" saveData="1">
    <webPr xl2000="1" htmlTables="1" htmlFormat="all"/>
  </connection>
  <connection id="36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2" name="Conexão290" type="4" refreshedVersion="3" deleted="1" background="1" saveData="1">
    <webPr xl2000="1" htmlTables="1" htmlFormat="all"/>
  </connection>
  <connection id="363" name="Conexão291" type="4" refreshedVersion="0" deleted="1" background="1" saveData="1">
    <webPr htmlTables="1" htmlFormat="all"/>
  </connection>
  <connection id="364" name="Conexão2911" type="4" refreshedVersion="0" deleted="1" background="1" saveData="1">
    <webPr htmlTables="1" htmlFormat="all"/>
  </connection>
  <connection id="365" name="Conexão292" type="4" refreshedVersion="0" deleted="1" background="1" saveData="1">
    <webPr htmlTables="1" htmlFormat="all"/>
  </connection>
  <connection id="366" name="Conexão2921" type="4" refreshedVersion="0" deleted="1" background="1" saveData="1">
    <webPr htmlTables="1" htmlFormat="all"/>
  </connection>
  <connection id="367" name="Conexão293" type="4" refreshedVersion="3" deleted="1" background="1" saveData="1">
    <webPr xl2000="1" htmlTables="1" htmlFormat="all"/>
  </connection>
  <connection id="368" name="Conexão2931" type="4" refreshedVersion="3" deleted="1" background="1" saveData="1">
    <webPr xl2000="1" htmlTables="1" htmlFormat="all"/>
  </connection>
  <connection id="369" name="Conexão294" type="4" refreshedVersion="3" deleted="1" background="1" saveData="1">
    <webPr xl2000="1" htmlTables="1" htmlFormat="all"/>
  </connection>
  <connection id="370" name="Conexão295" type="4" refreshedVersion="3" deleted="1" background="1" saveData="1">
    <webPr xl2000="1" htmlTables="1" htmlFormat="all"/>
  </connection>
  <connection id="371" name="Conexão2951" type="4" refreshedVersion="3" deleted="1" background="1" saveData="1">
    <webPr xl2000="1" htmlTables="1" htmlFormat="all"/>
  </connection>
  <connection id="372" name="Conexão296" type="4" refreshedVersion="3" deleted="1" background="1" saveData="1">
    <webPr xl2000="1" htmlTables="1" htmlFormat="all"/>
  </connection>
  <connection id="373" name="Conexão297" type="4" refreshedVersion="3" deleted="1" background="1" saveData="1">
    <webPr xl2000="1" htmlTables="1" htmlFormat="all"/>
  </connection>
  <connection id="374" name="Conexão2971" type="4" refreshedVersion="3" deleted="1" background="1" saveData="1">
    <webPr xl2000="1" htmlTables="1" htmlFormat="all"/>
  </connection>
  <connection id="375" name="Conexão298" type="4" refreshedVersion="3" deleted="1" background="1" saveData="1">
    <webPr xl2000="1" htmlTables="1" htmlFormat="all"/>
  </connection>
  <connection id="376" name="Conexão2981" type="4" refreshedVersion="3" deleted="1" background="1" saveData="1">
    <webPr xl2000="1" htmlTables="1" htmlFormat="all"/>
  </connection>
  <connection id="377" name="Conexão3" type="4" refreshedVersion="3" background="1" saveData="1">
    <webPr xl2000="1" url="http://download.finance.yahoo.com/d/quotes.csv?s=PITI3.SA+BPAC3.SA+BPAC5.SA&amp;f=nol1hgd1" htmlFormat="all"/>
  </connection>
  <connection id="37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9" name="Conexão300" type="4" refreshedVersion="3" deleted="1" background="1" saveData="1">
    <webPr xl2000="1" htmlTables="1" htmlFormat="all"/>
  </connection>
  <connection id="38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2" type="4" refreshedVersion="0" deleted="1" background="1" saveData="1">
    <webPr htmlTables="1" htmlFormat="all"/>
  </connection>
  <connection id="383" name="Conexão3021" type="4" refreshedVersion="0" deleted="1" background="1" saveData="1">
    <webPr htmlTables="1" htmlFormat="all"/>
  </connection>
  <connection id="384" name="Conexão303" type="4" refreshedVersion="3" deleted="1" background="1" saveData="1">
    <webPr xl2000="1" htmlTables="1" htmlFormat="all"/>
  </connection>
  <connection id="385" name="Conexão3031" type="4" refreshedVersion="3" deleted="1" background="1" saveData="1">
    <webPr xl2000="1" htmlTables="1" htmlFormat="all"/>
  </connection>
  <connection id="386" name="Conexão305" type="4" refreshedVersion="3" deleted="1" background="1" saveData="1">
    <webPr xl2000="1" htmlTables="1" htmlFormat="all"/>
  </connection>
  <connection id="387" name="Conexão306" type="4" refreshedVersion="3" deleted="1" background="1" saveData="1">
    <webPr xl2000="1" htmlTables="1" htmlFormat="all"/>
  </connection>
  <connection id="388" name="Conexão3061" type="4" refreshedVersion="3" deleted="1" background="1" saveData="1">
    <webPr xl2000="1" htmlTables="1" htmlFormat="all"/>
  </connection>
  <connection id="389" name="Conexão307" type="4" refreshedVersion="3" deleted="1" background="1" saveData="1">
    <webPr xl2000="1" htmlTables="1" htmlFormat="all"/>
  </connection>
  <connection id="39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1" name="Conexão310" type="4" refreshedVersion="3" background="1" saveData="1">
    <webPr xl2000="1" url="http://download.finance.yahoo.com/d/quotes.csv?s=PITI3.SA+BPAC3.SA+BPAC5.SA&amp;f=nol1hgd1" htmlFormat="all"/>
  </connection>
  <connection id="392" name="Conexão3101" type="4" refreshedVersion="3" background="1" saveData="1">
    <webPr xl2000="1" url="http://download.finance.yahoo.com/d/quotes.csv?s=PITI3.SA+BPAC3.SA+BPAC5.SA&amp;f=nol1hgd1" htmlFormat="all"/>
  </connection>
  <connection id="393" name="Conexão31011" type="4" refreshedVersion="3" background="1" saveData="1">
    <webPr xl2000="1" url="http://download.finance.yahoo.com/d/quotes.csv?s=PITI3.SA+BPAC3.SA+BPAC5.SA&amp;f=nol1hgd1" htmlFormat="all"/>
  </connection>
  <connection id="39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2" type="4" refreshedVersion="0" deleted="1" background="1" saveData="1">
    <webPr htmlTables="1" htmlFormat="all"/>
  </connection>
  <connection id="397" name="Conexão3121" type="4" refreshedVersion="0" deleted="1" background="1" saveData="1">
    <webPr htmlTables="1" htmlFormat="all"/>
  </connection>
  <connection id="398" name="Conexão313" type="4" refreshedVersion="0" deleted="1" background="1" saveData="1">
    <webPr htmlTables="1" htmlFormat="all"/>
  </connection>
  <connection id="399" name="Conexão3131" type="4" refreshedVersion="0" deleted="1" background="1" saveData="1">
    <webPr htmlTables="1" htmlFormat="all"/>
  </connection>
  <connection id="400" name="Conexão314" type="4" refreshedVersion="0" deleted="1" background="1" saveData="1">
    <webPr htmlTables="1" htmlFormat="all"/>
  </connection>
  <connection id="401" name="Conexão3141" type="4" refreshedVersion="0" deleted="1" background="1" saveData="1">
    <webPr htmlTables="1" htmlFormat="all"/>
  </connection>
  <connection id="402" name="Conexão315" type="4" refreshedVersion="0" deleted="1" background="1" saveData="1">
    <webPr htmlTables="1" htmlFormat="all"/>
  </connection>
  <connection id="403" name="Conexão3151" type="4" refreshedVersion="0" deleted="1" background="1" saveData="1">
    <webPr htmlTables="1" htmlFormat="all"/>
  </connection>
  <connection id="404" name="Conexão318" type="4" refreshedVersion="3" deleted="1" background="1" saveData="1">
    <webPr xl2000="1" htmlTables="1" htmlFormat="all"/>
  </connection>
  <connection id="405" name="Conexão3181" type="4" refreshedVersion="3" deleted="1" background="1" saveData="1">
    <webPr xl2000="1" htmlTables="1" htmlFormat="all"/>
  </connection>
  <connection id="406" name="Conexão319" type="4" refreshedVersion="3" deleted="1" background="1" saveData="1">
    <webPr xl2000="1" htmlTables="1" htmlFormat="all"/>
  </connection>
  <connection id="407" name="Conexão3191" type="4" refreshedVersion="3" deleted="1" background="1" saveData="1">
    <webPr xl2000="1" htmlTables="1" htmlFormat="all"/>
  </connection>
  <connection id="40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0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2" type="4" refreshedVersion="0" deleted="1" background="1" saveData="1">
    <webPr htmlTables="1" htmlFormat="all"/>
  </connection>
  <connection id="412" name="Conexão3221" type="4" refreshedVersion="0" deleted="1" background="1" saveData="1">
    <webPr htmlTables="1" htmlFormat="all"/>
  </connection>
  <connection id="413" name="Conexão323" type="4" refreshedVersion="3" deleted="1" background="1" saveData="1">
    <webPr xl2000="1" htmlTables="1" htmlFormat="all"/>
  </connection>
  <connection id="414" name="Conexão325" type="4" refreshedVersion="3" deleted="1" background="1" saveData="1">
    <webPr xl2000="1" htmlTables="1" htmlFormat="all"/>
  </connection>
  <connection id="415" name="Conexão3251" type="4" refreshedVersion="3" deleted="1" background="1" saveData="1">
    <webPr xl2000="1" htmlTables="1" htmlFormat="all"/>
  </connection>
  <connection id="416" name="Conexão326" type="4" refreshedVersion="3" deleted="1" background="1" saveData="1">
    <webPr xl2000="1" htmlTables="1" htmlFormat="all"/>
  </connection>
  <connection id="417" name="Conexão327" type="4" refreshedVersion="3" deleted="1" background="1" saveData="1">
    <webPr xl2000="1" htmlTables="1" htmlFormat="all"/>
  </connection>
  <connection id="418" name="Conexão3271" type="4" refreshedVersion="3" deleted="1" background="1" saveData="1">
    <webPr xl2000="1" htmlTables="1" htmlFormat="all"/>
  </connection>
  <connection id="419" name="Conexão329" type="4" refreshedVersion="3" deleted="1" background="1" saveData="1">
    <webPr xl2000="1" htmlTables="1" htmlFormat="all"/>
  </connection>
  <connection id="42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1" name="Conexão330" type="4" refreshedVersion="3" deleted="1" background="1" saveData="1">
    <webPr xl2000="1" htmlTables="1" htmlFormat="all"/>
  </connection>
  <connection id="422" name="Conexão3301" type="4" refreshedVersion="3" deleted="1" background="1" saveData="1">
    <webPr xl2000="1" htmlTables="1" htmlFormat="all"/>
  </connection>
  <connection id="42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2" type="4" refreshedVersion="0" deleted="1" background="1" saveData="1">
    <webPr htmlTables="1" htmlFormat="all"/>
  </connection>
  <connection id="426" name="Conexão3321" type="4" refreshedVersion="0" deleted="1" background="1" saveData="1">
    <webPr htmlTables="1" htmlFormat="all"/>
  </connection>
  <connection id="427" name="Conexão333" type="4" refreshedVersion="3" deleted="1" background="1" saveData="1">
    <webPr xl2000="1" htmlTables="1" htmlFormat="all"/>
  </connection>
  <connection id="428" name="Conexão334" type="4" refreshedVersion="3" deleted="1" background="1" saveData="1">
    <webPr xl2000="1" htmlTables="1" htmlFormat="all"/>
  </connection>
  <connection id="429" name="Conexão3341" type="4" refreshedVersion="3" deleted="1" background="1" saveData="1">
    <webPr xl2000="1" htmlTables="1" htmlFormat="all"/>
  </connection>
  <connection id="430" name="Conexão335" type="4" refreshedVersion="3" deleted="1" background="1" saveData="1">
    <webPr xl2000="1" htmlTables="1" htmlFormat="all"/>
  </connection>
  <connection id="431" name="Conexão3351" type="4" refreshedVersion="3" deleted="1" background="1" saveData="1">
    <webPr xl2000="1" htmlTables="1" htmlFormat="all"/>
  </connection>
  <connection id="432" name="Conexão336" type="4" refreshedVersion="3" deleted="1" background="1" saveData="1">
    <webPr xl2000="1" htmlTables="1" htmlFormat="all"/>
  </connection>
  <connection id="433" name="Conexão337" type="4" refreshedVersion="3" deleted="1" background="1" saveData="1">
    <webPr xl2000="1" htmlTables="1" htmlFormat="all"/>
  </connection>
  <connection id="434" name="Conexão3371" type="4" refreshedVersion="3" deleted="1" background="1" saveData="1">
    <webPr xl2000="1" htmlTables="1" htmlFormat="all"/>
  </connection>
  <connection id="435" name="Conexão338" type="4" refreshedVersion="3" deleted="1" background="1" saveData="1">
    <webPr xl2000="1" htmlTables="1" htmlFormat="all"/>
  </connection>
  <connection id="436" name="Conexão3381" type="4" refreshedVersion="3" deleted="1" background="1" saveData="1">
    <webPr xl2000="1" htmlTables="1" htmlFormat="all"/>
  </connection>
  <connection id="437" name="Conexão339" type="4" refreshedVersion="3" deleted="1" background="1" saveData="1">
    <webPr xl2000="1" htmlTables="1" htmlFormat="all"/>
  </connection>
  <connection id="438" name="Conexão3391" type="4" refreshedVersion="3" deleted="1" background="1" saveData="1">
    <webPr xl2000="1" htmlTables="1" htmlFormat="all"/>
  </connection>
  <connection id="43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0" name="Conexão340" type="4" refreshedVersion="3" deleted="1" background="1" saveData="1">
    <webPr xl2000="1" htmlTables="1" htmlFormat="all"/>
  </connection>
  <connection id="441" name="Conexão3401" type="4" refreshedVersion="3" deleted="1" background="1" saveData="1">
    <webPr xl2000="1" htmlTables="1" htmlFormat="all"/>
  </connection>
  <connection id="44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2" type="4" refreshedVersion="0" deleted="1" background="1" saveData="1">
    <webPr htmlTables="1" htmlFormat="all"/>
  </connection>
  <connection id="446" name="Conexão3421" type="4" refreshedVersion="0" deleted="1" background="1" saveData="1">
    <webPr htmlTables="1" htmlFormat="all"/>
  </connection>
  <connection id="447" name="Conexão343" type="4" refreshedVersion="3" deleted="1" background="1" saveData="1">
    <webPr xl2000="1" htmlTables="1" htmlFormat="all"/>
  </connection>
  <connection id="448" name="Conexão3431" type="4" refreshedVersion="3" deleted="1" background="1" saveData="1">
    <webPr xl2000="1" htmlTables="1" htmlFormat="all"/>
  </connection>
  <connection id="449" name="Conexão344" type="4" refreshedVersion="3" deleted="1" background="1" saveData="1">
    <webPr xl2000="1" htmlTables="1" htmlFormat="all"/>
  </connection>
  <connection id="450" name="Conexão3441" type="4" refreshedVersion="3" deleted="1" background="1" saveData="1">
    <webPr xl2000="1" htmlTables="1" htmlFormat="all"/>
  </connection>
  <connection id="451" name="Conexão346" type="4" refreshedVersion="3" deleted="1" background="1" saveData="1">
    <webPr xl2000="1" htmlTables="1" htmlFormat="all"/>
  </connection>
  <connection id="452" name="Conexão3461" type="4" refreshedVersion="3" deleted="1" background="1" saveData="1">
    <webPr xl2000="1" htmlTables="1" htmlFormat="all"/>
  </connection>
  <connection id="453" name="Conexão348" type="4" refreshedVersion="3" deleted="1" background="1" saveData="1">
    <webPr xl2000="1" htmlTables="1" htmlFormat="all"/>
  </connection>
  <connection id="454" name="Conexão3481" type="4" refreshedVersion="3" deleted="1" background="1" saveData="1">
    <webPr xl2000="1" htmlTables="1" htmlFormat="all"/>
  </connection>
  <connection id="455" name="Conexão349" type="4" refreshedVersion="3" deleted="1" background="1" saveData="1">
    <webPr xl2000="1" htmlTables="1" htmlFormat="all"/>
  </connection>
  <connection id="456" name="Conexão3491" type="4" refreshedVersion="3" deleted="1" background="1" saveData="1">
    <webPr xl2000="1" htmlTables="1" htmlFormat="all"/>
  </connection>
  <connection id="45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8" name="Conexão351" type="4" refreshedVersion="0" deleted="1" background="1" saveData="1">
    <webPr htmlTables="1" htmlFormat="all"/>
  </connection>
  <connection id="459" name="Conexão3511" type="4" refreshedVersion="0" deleted="1" background="1" saveData="1">
    <webPr htmlTables="1" htmlFormat="all"/>
  </connection>
  <connection id="460" name="Conexão352" type="4" refreshedVersion="0" deleted="1" background="1" saveData="1">
    <webPr htmlTables="1" htmlFormat="all"/>
  </connection>
  <connection id="461" name="Conexão3521" type="4" refreshedVersion="0" deleted="1" background="1" saveData="1">
    <webPr htmlTables="1" htmlFormat="all"/>
  </connection>
  <connection id="462" name="Conexão353" type="4" refreshedVersion="3" deleted="1" background="1" saveData="1">
    <webPr xl2000="1" htmlTables="1" htmlFormat="all"/>
  </connection>
  <connection id="463" name="Conexão3531" type="4" refreshedVersion="3" deleted="1" background="1" saveData="1">
    <webPr xl2000="1" htmlTables="1" htmlFormat="all"/>
  </connection>
  <connection id="464" name="Conexão354" type="4" refreshedVersion="3" deleted="1" background="1" saveData="1">
    <webPr xl2000="1" htmlTables="1" htmlFormat="all"/>
  </connection>
  <connection id="465" name="Conexão3541" type="4" refreshedVersion="3" deleted="1" background="1" saveData="1">
    <webPr xl2000="1" htmlTables="1" htmlFormat="all"/>
  </connection>
  <connection id="466" name="Conexão355" type="4" refreshedVersion="3" deleted="1" background="1" saveData="1">
    <webPr xl2000="1" htmlTables="1" htmlFormat="all"/>
  </connection>
  <connection id="467" name="Conexão3551" type="4" refreshedVersion="3" deleted="1" background="1" saveData="1">
    <webPr xl2000="1" htmlTables="1" htmlFormat="all"/>
  </connection>
  <connection id="468" name="Conexão357" type="4" refreshedVersion="3" deleted="1" background="1" saveData="1">
    <webPr xl2000="1" htmlTables="1" htmlFormat="all"/>
  </connection>
  <connection id="469" name="Conexão3571" type="4" refreshedVersion="3" deleted="1" background="1" saveData="1">
    <webPr xl2000="1" htmlTables="1" htmlFormat="all"/>
  </connection>
  <connection id="47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61" type="4" refreshedVersion="0" deleted="1" background="1" saveData="1">
    <webPr htmlTables="1" htmlFormat="all"/>
  </connection>
  <connection id="472" name="Conexão3611" type="4" refreshedVersion="0" deleted="1" background="1" saveData="1">
    <webPr htmlTables="1" htmlFormat="all"/>
  </connection>
  <connection id="473" name="Conexão362" type="4" refreshedVersion="0" deleted="1" background="1" saveData="1">
    <webPr htmlTables="1" htmlFormat="all"/>
  </connection>
  <connection id="474" name="Conexão3621" type="4" refreshedVersion="0" deleted="1" background="1" saveData="1">
    <webPr htmlTables="1" htmlFormat="all"/>
  </connection>
  <connection id="475" name="Conexão363" type="4" refreshedVersion="3" deleted="1" background="1" saveData="1">
    <webPr xl2000="1" htmlTables="1" htmlFormat="all"/>
  </connection>
  <connection id="476" name="Conexão3631" type="4" refreshedVersion="3" deleted="1" background="1" saveData="1">
    <webPr xl2000="1" htmlTables="1" htmlFormat="all"/>
  </connection>
  <connection id="477" name="Conexão365" type="4" refreshedVersion="3" deleted="1" background="1" saveData="1">
    <webPr xl2000="1" htmlTables="1" htmlFormat="all"/>
  </connection>
  <connection id="478" name="Conexão3651" type="4" refreshedVersion="3" deleted="1" background="1" saveData="1">
    <webPr xl2000="1" htmlTables="1" htmlFormat="all"/>
  </connection>
  <connection id="479" name="Conexão366" type="4" refreshedVersion="3" deleted="1" background="1" saveData="1">
    <webPr xl2000="1" htmlTables="1" htmlFormat="all"/>
  </connection>
  <connection id="480" name="Conexão3661" type="4" refreshedVersion="3" deleted="1" background="1" saveData="1">
    <webPr xl2000="1" htmlTables="1" htmlFormat="all"/>
  </connection>
  <connection id="481" name="Conexão368" type="4" refreshedVersion="3" deleted="1" background="1" saveData="1">
    <webPr xl2000="1" htmlTables="1" htmlFormat="all"/>
  </connection>
  <connection id="482" name="Conexão369" type="4" refreshedVersion="3" deleted="1" background="1" saveData="1">
    <webPr xl2000="1" htmlTables="1" htmlFormat="all"/>
  </connection>
  <connection id="483" name="Conexão3691" type="4" refreshedVersion="3" deleted="1" background="1" saveData="1">
    <webPr xl2000="1" htmlTables="1" htmlFormat="all"/>
  </connection>
  <connection id="48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5" name="Conexão370" type="4" refreshedVersion="3" deleted="1" background="1" saveData="1">
    <webPr xl2000="1" htmlTables="1" htmlFormat="all"/>
  </connection>
  <connection id="486" name="Conexão3701" type="4" refreshedVersion="3" deleted="1" background="1" saveData="1">
    <webPr xl2000="1" htmlTables="1" htmlFormat="all"/>
  </connection>
  <connection id="487" name="Conexão371" type="4" refreshedVersion="0" deleted="1" background="1" saveData="1">
    <webPr htmlTables="1" htmlFormat="all"/>
  </connection>
  <connection id="488" name="Conexão3711" type="4" refreshedVersion="0" deleted="1" background="1" saveData="1">
    <webPr htmlTables="1" htmlFormat="all"/>
  </connection>
  <connection id="489" name="Conexão372" type="4" refreshedVersion="0" deleted="1" background="1" saveData="1">
    <webPr htmlTables="1" htmlFormat="all"/>
  </connection>
  <connection id="490" name="Conexão3721" type="4" refreshedVersion="0" deleted="1" background="1" saveData="1">
    <webPr htmlTables="1" htmlFormat="all"/>
  </connection>
  <connection id="491" name="Conexão375" type="4" refreshedVersion="3" deleted="1" background="1" saveData="1">
    <webPr xl2000="1" htmlTables="1" htmlFormat="all"/>
  </connection>
  <connection id="492" name="Conexão3751" type="4" refreshedVersion="3" deleted="1" background="1" saveData="1">
    <webPr xl2000="1" htmlTables="1" htmlFormat="all"/>
  </connection>
  <connection id="493" name="Conexão376" type="4" refreshedVersion="3" deleted="1" background="1" saveData="1">
    <webPr xl2000="1" htmlTables="1" htmlFormat="all"/>
  </connection>
  <connection id="494" name="Conexão3761" type="4" refreshedVersion="3" deleted="1" background="1" saveData="1">
    <webPr xl2000="1" htmlTables="1" htmlFormat="all"/>
  </connection>
  <connection id="495" name="Conexão377" type="4" refreshedVersion="3" deleted="1" background="1" saveData="1">
    <webPr xl2000="1" htmlTables="1" htmlFormat="all"/>
  </connection>
  <connection id="496" name="Conexão3771" type="4" refreshedVersion="3" deleted="1" background="1" saveData="1">
    <webPr xl2000="1" htmlTables="1" htmlFormat="all"/>
  </connection>
  <connection id="497" name="Conexão378" type="4" refreshedVersion="3" deleted="1" background="1" saveData="1">
    <webPr xl2000="1" htmlTables="1" htmlFormat="all"/>
  </connection>
  <connection id="498" name="Conexão3781" type="4" refreshedVersion="3" deleted="1" background="1" saveData="1">
    <webPr xl2000="1" htmlTables="1" htmlFormat="all"/>
  </connection>
  <connection id="499" name="Conexão379" type="4" refreshedVersion="3" deleted="1" background="1" saveData="1">
    <webPr xl2000="1" htmlTables="1" htmlFormat="all"/>
  </connection>
  <connection id="500" name="Conexão3791" type="4" refreshedVersion="3" deleted="1" background="1" saveData="1">
    <webPr xl2000="1" htmlTables="1" htmlFormat="all"/>
  </connection>
  <connection id="50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2" name="Conexão380" type="4" refreshedVersion="3" deleted="1" background="1" saveData="1">
    <webPr xl2000="1" htmlTables="1" htmlFormat="all"/>
  </connection>
  <connection id="503" name="Conexão3801" type="4" refreshedVersion="3" deleted="1" background="1" saveData="1">
    <webPr xl2000="1" htmlTables="1" htmlFormat="all"/>
  </connection>
  <connection id="50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2" type="4" refreshedVersion="0" deleted="1" background="1" saveData="1">
    <webPr htmlTables="1" htmlFormat="all"/>
  </connection>
  <connection id="508" name="Conexão3821" type="4" refreshedVersion="0" deleted="1" background="1" saveData="1">
    <webPr htmlTables="1" htmlFormat="all"/>
  </connection>
  <connection id="509" name="Conexão383" type="4" refreshedVersion="3" deleted="1" background="1" saveData="1">
    <webPr xl2000="1" htmlTables="1" htmlFormat="all"/>
  </connection>
  <connection id="510" name="Conexão3831" type="4" refreshedVersion="3" deleted="1" background="1" saveData="1">
    <webPr xl2000="1" htmlTables="1" htmlFormat="all"/>
  </connection>
  <connection id="511" name="Conexão384" type="4" refreshedVersion="3" deleted="1" background="1" saveData="1">
    <webPr xl2000="1" htmlTables="1" htmlFormat="all"/>
  </connection>
  <connection id="512" name="Conexão3841" type="4" refreshedVersion="3" deleted="1" background="1" saveData="1">
    <webPr xl2000="1" htmlTables="1" htmlFormat="all"/>
  </connection>
  <connection id="513" name="Conexão385" type="4" refreshedVersion="3" deleted="1" background="1" saveData="1">
    <webPr xl2000="1" htmlTables="1" htmlFormat="all"/>
  </connection>
  <connection id="514" name="Conexão3851" type="4" refreshedVersion="3" deleted="1" background="1" saveData="1">
    <webPr xl2000="1" htmlTables="1" htmlFormat="all"/>
  </connection>
  <connection id="515" name="Conexão387" type="4" refreshedVersion="3" deleted="1" background="1" saveData="1">
    <webPr xl2000="1" htmlTables="1" htmlFormat="all"/>
  </connection>
  <connection id="516" name="Conexão3871" type="4" refreshedVersion="3" deleted="1" background="1" saveData="1">
    <webPr xl2000="1" htmlTables="1" htmlFormat="all"/>
  </connection>
  <connection id="51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8" name="Conexão390" type="4" refreshedVersion="3" deleted="1" background="1" saveData="1">
    <webPr xl2000="1" htmlTables="1" htmlFormat="all"/>
  </connection>
  <connection id="519" name="Conexão3901" type="4" refreshedVersion="3" deleted="1" background="1" saveData="1">
    <webPr xl2000="1" htmlTables="1" htmlFormat="all"/>
  </connection>
  <connection id="52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2" type="4" refreshedVersion="0" deleted="1" background="1" saveData="1">
    <webPr htmlTables="1" htmlFormat="all"/>
  </connection>
  <connection id="524" name="Conexão3921" type="4" refreshedVersion="0" deleted="1" background="1" saveData="1">
    <webPr htmlTables="1" htmlFormat="all"/>
  </connection>
  <connection id="525" name="Conexão393" type="4" refreshedVersion="3" deleted="1" background="1" saveData="1">
    <webPr xl2000="1" htmlTables="1" htmlFormat="all"/>
  </connection>
  <connection id="526" name="Conexão3931" type="4" refreshedVersion="3" deleted="1" background="1" saveData="1">
    <webPr xl2000="1" htmlTables="1" htmlFormat="all"/>
  </connection>
  <connection id="527" name="Conexão394" type="4" refreshedVersion="3" deleted="1" background="1" saveData="1">
    <webPr xl2000="1" htmlTables="1" htmlFormat="all"/>
  </connection>
  <connection id="528" name="Conexão3941" type="4" refreshedVersion="3" deleted="1" background="1" saveData="1">
    <webPr xl2000="1" htmlTables="1" htmlFormat="all"/>
  </connection>
  <connection id="529" name="Conexão395" type="4" refreshedVersion="3" deleted="1" background="1" saveData="1">
    <webPr xl2000="1" htmlTables="1" htmlFormat="all"/>
  </connection>
  <connection id="530" name="Conexão3951" type="4" refreshedVersion="3" deleted="1" background="1" saveData="1">
    <webPr xl2000="1" htmlTables="1" htmlFormat="all"/>
  </connection>
  <connection id="531" name="Conexão398" type="4" refreshedVersion="3" deleted="1" background="1" saveData="1">
    <webPr xl2000="1" htmlTables="1" htmlFormat="all"/>
  </connection>
  <connection id="532" name="Conexão3981" type="4" refreshedVersion="3" deleted="1" background="1" saveData="1">
    <webPr xl2000="1" htmlTables="1" htmlFormat="all"/>
  </connection>
  <connection id="533" name="Conexão399" type="4" refreshedVersion="3" deleted="1" background="1" saveData="1">
    <webPr xl2000="1" htmlTables="1" htmlFormat="all"/>
  </connection>
  <connection id="534" name="Conexão3991" type="4" refreshedVersion="3" deleted="1" background="1" saveData="1">
    <webPr xl2000="1" htmlTables="1" htmlFormat="all"/>
  </connection>
  <connection id="535" name="Conexão4" type="4" refreshedVersion="3" background="1" saveData="1">
    <webPr xl2000="1" url="http://download.finance.yahoo.com/d/quotes.csv?s=PITI3.SA+BPAC3.SA+BPAC5.SA&amp;f=nol1hgd1" htmlFormat="all"/>
  </connection>
  <connection id="53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7" name="Conexão400" type="4" refreshedVersion="3" deleted="1" background="1" saveData="1">
    <webPr xl2000="1" htmlTables="1" htmlFormat="all"/>
  </connection>
  <connection id="538" name="Conexão4001" type="4" refreshedVersion="3" deleted="1" background="1" saveData="1">
    <webPr xl2000="1" htmlTables="1" htmlFormat="all"/>
  </connection>
  <connection id="53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2" type="4" refreshedVersion="0" deleted="1" background="1" saveData="1">
    <webPr htmlTables="1" htmlFormat="all"/>
  </connection>
  <connection id="543" name="Conexão4021" type="4" refreshedVersion="0" deleted="1" background="1" saveData="1">
    <webPr htmlTables="1" htmlFormat="all"/>
  </connection>
  <connection id="544" name="Conexão403" type="4" refreshedVersion="3" deleted="1" background="1" saveData="1">
    <webPr xl2000="1" htmlTables="1" htmlFormat="all"/>
  </connection>
  <connection id="545" name="Conexão4031" type="4" refreshedVersion="3" deleted="1" background="1" saveData="1">
    <webPr xl2000="1" htmlTables="1" htmlFormat="all"/>
  </connection>
  <connection id="546" name="Conexão407" type="4" refreshedVersion="3" deleted="1" background="1" saveData="1">
    <webPr xl2000="1" htmlTables="1" htmlFormat="all"/>
  </connection>
  <connection id="547" name="Conexão4071" type="4" refreshedVersion="3" deleted="1" background="1" saveData="1">
    <webPr xl2000="1" htmlTables="1" htmlFormat="all"/>
  </connection>
  <connection id="548" name="Conexão408" type="4" refreshedVersion="3" deleted="1" background="1" saveData="1">
    <webPr xl2000="1" htmlTables="1" htmlFormat="all"/>
  </connection>
  <connection id="549" name="Conexão4081" type="4" refreshedVersion="3" deleted="1" background="1" saveData="1">
    <webPr xl2000="1" htmlTables="1" htmlFormat="all"/>
  </connection>
  <connection id="55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1" name="Conexão410" type="4" refreshedVersion="3" background="1" saveData="1">
    <webPr xl2000="1" url="http://download.finance.yahoo.com/d/quotes.csv?s=PITI3.SA+BPAC3.SA+BPAC5.SA&amp;f=nol1hgd1" htmlFormat="all"/>
  </connection>
  <connection id="552" name="Conexão4101" type="4" refreshedVersion="3" background="1" saveData="1">
    <webPr xl2000="1" url="http://download.finance.yahoo.com/d/quotes.csv?s=PITI3.SA+BPAC3.SA+BPAC5.SA&amp;f=nol1hgd1" htmlFormat="all"/>
  </connection>
  <connection id="553" name="Conexão41011" type="4" refreshedVersion="3" background="1" saveData="1">
    <webPr xl2000="1" url="http://download.finance.yahoo.com/d/quotes.csv?s=PITI3.SA+BPAC3.SA+BPAC5.SA&amp;f=nol1hgd1" htmlFormat="all"/>
  </connection>
  <connection id="55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2" type="4" refreshedVersion="0" deleted="1" background="1" saveData="1">
    <webPr htmlTables="1" htmlFormat="all"/>
  </connection>
  <connection id="557" name="Conexão4121" type="4" refreshedVersion="0" deleted="1" background="1" saveData="1">
    <webPr htmlTables="1" htmlFormat="all"/>
  </connection>
  <connection id="558" name="Conexão413" type="4" refreshedVersion="3" deleted="1" background="1" saveData="1">
    <webPr xl2000="1" htmlTables="1" htmlFormat="all"/>
  </connection>
  <connection id="559" name="Conexão4131" type="4" refreshedVersion="3" deleted="1" background="1" saveData="1">
    <webPr xl2000="1" htmlTables="1" htmlFormat="all"/>
  </connection>
  <connection id="560" name="Conexão414" type="4" refreshedVersion="3" deleted="1" background="1" saveData="1">
    <webPr xl2000="1" htmlTables="1" htmlFormat="all"/>
  </connection>
  <connection id="561" name="Conexão4141" type="4" refreshedVersion="3" deleted="1" background="1" saveData="1">
    <webPr xl2000="1" htmlTables="1" htmlFormat="all"/>
  </connection>
  <connection id="562" name="Conexão417" type="4" refreshedVersion="3" deleted="1" background="1" saveData="1">
    <webPr xl2000="1" htmlTables="1" htmlFormat="all"/>
  </connection>
  <connection id="563" name="Conexão4171" type="4" refreshedVersion="3" deleted="1" background="1" saveData="1">
    <webPr xl2000="1" htmlTables="1" htmlFormat="all"/>
  </connection>
  <connection id="564" name="Conexão419" type="4" refreshedVersion="3" deleted="1" background="1" saveData="1">
    <webPr xl2000="1" htmlTables="1" htmlFormat="all"/>
  </connection>
  <connection id="565" name="Conexão4191" type="4" refreshedVersion="3" deleted="1" background="1" saveData="1">
    <webPr xl2000="1" htmlTables="1" htmlFormat="all"/>
  </connection>
  <connection id="56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7" name="Conexão421" type="4" refreshedVersion="3" deleted="1" background="1" saveData="1">
    <webPr xl2000="1" htmlTables="1" htmlFormat="all"/>
  </connection>
  <connection id="568" name="Conexão4211" type="4" refreshedVersion="3" deleted="1" background="1" saveData="1">
    <webPr xl2000="1" htmlTables="1" htmlFormat="all"/>
  </connection>
  <connection id="569" name="Conexão422" type="4" refreshedVersion="3" deleted="1" background="1" saveData="1">
    <webPr xl2000="1" htmlTables="1" htmlFormat="all"/>
  </connection>
  <connection id="570" name="Conexão4221" type="4" refreshedVersion="3" deleted="1" background="1" saveData="1">
    <webPr xl2000="1" htmlTables="1" htmlFormat="all"/>
  </connection>
  <connection id="571" name="Conexão423" type="4" refreshedVersion="3" deleted="1" background="1" saveData="1">
    <webPr xl2000="1" htmlTables="1" htmlFormat="all"/>
  </connection>
  <connection id="572" name="Conexão4231" type="4" refreshedVersion="3" deleted="1" background="1" saveData="1">
    <webPr xl2000="1" htmlTables="1" htmlFormat="all"/>
  </connection>
  <connection id="573" name="Conexão424" type="4" refreshedVersion="3" deleted="1" background="1" saveData="1">
    <webPr xl2000="1" htmlTables="1" htmlFormat="all"/>
  </connection>
  <connection id="574" name="Conexão4241" type="4" refreshedVersion="3" deleted="1" background="1" saveData="1">
    <webPr xl2000="1" htmlTables="1" htmlFormat="all"/>
  </connection>
  <connection id="575" name="Conexão425" type="4" refreshedVersion="3" deleted="1" background="1" saveData="1">
    <webPr xl2000="1" htmlTables="1" htmlFormat="all"/>
  </connection>
  <connection id="576" name="Conexão4251" type="4" refreshedVersion="3" deleted="1" background="1" saveData="1">
    <webPr xl2000="1" htmlTables="1" htmlFormat="all"/>
  </connection>
  <connection id="577" name="Conexão427" type="4" refreshedVersion="3" deleted="1" background="1" saveData="1">
    <webPr xl2000="1" htmlTables="1" htmlFormat="all"/>
  </connection>
  <connection id="578" name="Conexão4271" type="4" refreshedVersion="3" deleted="1" background="1" saveData="1">
    <webPr xl2000="1" htmlTables="1" htmlFormat="all"/>
  </connection>
  <connection id="579" name="Conexão429" type="4" refreshedVersion="3" deleted="1" background="1" saveData="1">
    <webPr xl2000="1" htmlTables="1" htmlFormat="all"/>
  </connection>
  <connection id="580" name="Conexão4291" type="4" refreshedVersion="3" deleted="1" background="1" saveData="1">
    <webPr xl2000="1" htmlTables="1" htmlFormat="all"/>
  </connection>
  <connection id="58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2" name="Conexão431" type="4" refreshedVersion="3" deleted="1" background="1" saveData="1">
    <webPr xl2000="1" htmlTables="1" htmlFormat="all"/>
  </connection>
  <connection id="583" name="Conexão4311" type="4" refreshedVersion="3" deleted="1" background="1" saveData="1">
    <webPr xl2000="1" htmlTables="1" htmlFormat="all"/>
  </connection>
  <connection id="584" name="Conexão432" type="4" refreshedVersion="3" deleted="1" background="1" saveData="1">
    <webPr xl2000="1" htmlTables="1" htmlFormat="all"/>
  </connection>
  <connection id="585" name="Conexão4321" type="4" refreshedVersion="3" deleted="1" background="1" saveData="1">
    <webPr xl2000="1" htmlTables="1" htmlFormat="all"/>
  </connection>
  <connection id="58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8" name="Conexão471" type="4" refreshedVersion="3" deleted="1" background="1" saveData="1">
    <webPr xl2000="1" htmlTables="1" htmlFormat="all"/>
  </connection>
  <connection id="599" name="Conexão4711" type="4" refreshedVersion="3" deleted="1" background="1" saveData="1">
    <webPr xl2000="1" htmlTables="1" htmlFormat="all"/>
  </connection>
  <connection id="60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1" name="Conexão481" type="4" refreshedVersion="3" deleted="1" background="1" saveData="1">
    <webPr xl2000="1" htmlTables="1" htmlFormat="all"/>
  </connection>
  <connection id="602" name="Conexão4811" type="4" refreshedVersion="3" deleted="1" background="1" saveData="1">
    <webPr xl2000="1" htmlTables="1" htmlFormat="all"/>
  </connection>
  <connection id="60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4" name="Conexão491" type="4" refreshedVersion="3" deleted="1" background="1" saveData="1">
    <webPr xl2000="1" htmlTables="1" htmlFormat="all"/>
  </connection>
  <connection id="605" name="Conexão4911" type="4" refreshedVersion="3" deleted="1" background="1" saveData="1">
    <webPr xl2000="1" htmlTables="1" htmlFormat="all"/>
  </connection>
  <connection id="606" name="Conexão5" type="4" refreshedVersion="0" background="1" saveData="1">
    <webPr url="http://download.finance.yahoo.com/d/quotes.csv?s=BPAR3.SA&amp;f=nol1hgd1" htmlTables="1" htmlFormat="all"/>
  </connection>
  <connection id="60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8" name="Conexão501" type="4" refreshedVersion="3" deleted="1" background="1" saveData="1">
    <webPr xl2000="1" htmlTables="1" htmlFormat="all"/>
  </connection>
  <connection id="609" name="Conexão5011" type="4" refreshedVersion="3" deleted="1" background="1" saveData="1">
    <webPr xl2000="1" htmlTables="1" htmlFormat="all"/>
  </connection>
  <connection id="61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1" name="Conexão510" type="4" refreshedVersion="0" deleted="1" background="1" saveData="1">
    <webPr htmlTables="1" htmlFormat="all"/>
  </connection>
  <connection id="612" name="Conexão5101" type="4" refreshedVersion="0" deleted="1" background="1" saveData="1">
    <webPr htmlTables="1" htmlFormat="all"/>
  </connection>
  <connection id="61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2" type="4" refreshedVersion="0" deleted="1" background="1" saveData="1">
    <webPr htmlTables="1" htmlFormat="all"/>
  </connection>
  <connection id="617" name="Conexão5121" type="4" refreshedVersion="0" deleted="1" background="1" saveData="1">
    <webPr htmlTables="1" htmlFormat="all"/>
  </connection>
  <connection id="618" name="Conexão513" type="4" refreshedVersion="0" deleted="1" background="1" saveData="1">
    <webPr htmlTables="1" htmlFormat="all"/>
  </connection>
  <connection id="619" name="Conexão5131" type="4" refreshedVersion="0" deleted="1" background="1" saveData="1">
    <webPr htmlTables="1" htmlFormat="all"/>
  </connection>
  <connection id="62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1" name="Conexão521" type="4" refreshedVersion="3" deleted="1" background="1" saveData="1">
    <webPr xl2000="1" htmlTables="1" htmlFormat="all"/>
  </connection>
  <connection id="622" name="Conexão5211" type="4" refreshedVersion="3" deleted="1" background="1" saveData="1">
    <webPr xl2000="1" htmlTables="1" htmlFormat="all"/>
  </connection>
  <connection id="62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4" name="Conexão531" type="4" refreshedVersion="3" deleted="1" background="1" saveData="1">
    <webPr xl2000="1" htmlTables="1" htmlFormat="all"/>
  </connection>
  <connection id="625" name="Conexão5311" type="4" refreshedVersion="3" deleted="1" background="1" saveData="1">
    <webPr xl2000="1" htmlTables="1" htmlFormat="all"/>
  </connection>
  <connection id="62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0" name="Conexão551" type="4" refreshedVersion="3" deleted="1" background="1" saveData="1">
    <webPr xl2000="1" htmlTables="1" htmlFormat="all"/>
  </connection>
  <connection id="631" name="Conexão5511" type="4" refreshedVersion="3" deleted="1" background="1" saveData="1">
    <webPr xl2000="1" htmlTables="1" htmlFormat="all"/>
  </connection>
  <connection id="63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6" type="4" refreshedVersion="0" background="1" saveData="1">
    <webPr url="http://download.finance.yahoo.com/d/quotes.csv?s=BPAR3.SA&amp;f=nol1hgd1" htmlTables="1" htmlFormat="all"/>
  </connection>
  <connection id="64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49" name="Conexão601" type="4" refreshedVersion="3" deleted="1" background="1" saveData="1">
    <webPr xl2000="1" htmlTables="1" htmlFormat="all"/>
  </connection>
  <connection id="650" name="Conexão6011" type="4" refreshedVersion="3" deleted="1" background="1" saveData="1">
    <webPr xl2000="1" htmlTables="1" htmlFormat="all"/>
  </connection>
  <connection id="65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2" name="Conexão610" type="4" refreshedVersion="0" background="1" saveData="1">
    <webPr url="http://download.finance.yahoo.com/d/quotes.csv?s=BPAR3.SA&amp;f=nol1hgd1" htmlTables="1" htmlFormat="all"/>
  </connection>
  <connection id="653" name="Conexão6101" type="4" refreshedVersion="0" background="1" saveData="1">
    <webPr url="http://download.finance.yahoo.com/d/quotes.csv?s=BPAR3.SA&amp;f=nol1hgd1" htmlTables="1" htmlFormat="all"/>
  </connection>
  <connection id="654" name="Conexão61011" type="4" refreshedVersion="0" background="1" saveData="1">
    <webPr url="http://download.finance.yahoo.com/d/quotes.csv?s=BPAR3.SA&amp;f=nol1hgd1" htmlTables="1" htmlFormat="all"/>
  </connection>
  <connection id="65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2" type="4" refreshedVersion="0" deleted="1" background="1" saveData="1">
    <webPr htmlTables="1" htmlFormat="all"/>
  </connection>
  <connection id="658" name="Conexão6121" type="4" refreshedVersion="0" deleted="1" background="1" saveData="1">
    <webPr htmlTables="1" htmlFormat="all"/>
  </connection>
  <connection id="659" name="Conexão613" type="4" refreshedVersion="3" deleted="1" background="1" saveData="1">
    <webPr xl2000="1" htmlTables="1" htmlFormat="all"/>
  </connection>
  <connection id="660" name="Conexão6131" type="4" refreshedVersion="3" deleted="1" background="1" saveData="1">
    <webPr xl2000="1" htmlTables="1" htmlFormat="all"/>
  </connection>
  <connection id="66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2" name="Conexão621" type="4" refreshedVersion="3" deleted="1" background="1" saveData="1">
    <webPr xl2000="1" htmlTables="1" htmlFormat="all"/>
  </connection>
  <connection id="663" name="Conexão6211" type="4" refreshedVersion="3" deleted="1" background="1" saveData="1">
    <webPr xl2000="1" htmlTables="1" htmlFormat="all"/>
  </connection>
  <connection id="66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5" name="Conexão631" type="4" refreshedVersion="3" deleted="1" background="1" saveData="1">
    <webPr xl2000="1" htmlTables="1" htmlFormat="all"/>
  </connection>
  <connection id="666" name="Conexão6311" type="4" refreshedVersion="3" deleted="1" background="1" saveData="1">
    <webPr xl2000="1" htmlTables="1" htmlFormat="all"/>
  </connection>
  <connection id="66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7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6" name="Conexão691" type="4" refreshedVersion="3" deleted="1" background="1" saveData="1">
    <webPr xl2000="1" htmlTables="1" htmlFormat="all"/>
  </connection>
  <connection id="687" name="Conexão6911" type="4" refreshedVersion="3" deleted="1" background="1" saveData="1">
    <webPr xl2000="1" htmlTables="1" htmlFormat="all"/>
  </connection>
  <connection id="688" name="Conexão7" type="4" refreshedVersion="0" background="1" saveData="1">
    <webPr url="http://download.finance.yahoo.com/d/quotes.csv?s=BPAR3.SA&amp;f=nol1hgd1" htmlTables="1" htmlFormat="all"/>
  </connection>
  <connection id="68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4" name="Conexão710" type="4" refreshedVersion="0" background="1" saveData="1">
    <webPr url="http://download.finance.yahoo.com/d/quotes.csv?s=BPAR3.SA&amp;f=nol1hgd1" htmlTables="1" htmlFormat="all"/>
  </connection>
  <connection id="695" name="Conexão7101" type="4" refreshedVersion="0" background="1" saveData="1">
    <webPr url="http://download.finance.yahoo.com/d/quotes.csv?s=BPAR3.SA&amp;f=nol1hgd1" htmlTables="1" htmlFormat="all"/>
  </connection>
  <connection id="69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2" type="4" refreshedVersion="3" deleted="1" background="1" saveData="1">
    <webPr xl2000="1" htmlTables="1" htmlFormat="all"/>
  </connection>
  <connection id="700" name="Conexão7121" type="4" refreshedVersion="3" deleted="1" background="1" saveData="1">
    <webPr xl2000="1" htmlTables="1" htmlFormat="all"/>
  </connection>
  <connection id="701" name="Conexão713" type="4" refreshedVersion="0" deleted="1" background="1" saveData="1">
    <webPr htmlTables="1" htmlFormat="all"/>
  </connection>
  <connection id="702" name="Conexão7131" type="4" refreshedVersion="0" deleted="1" background="1" saveData="1">
    <webPr htmlTables="1" htmlFormat="all"/>
  </connection>
  <connection id="70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6" name="Conexão751" type="4" refreshedVersion="3" deleted="1" background="1" saveData="1">
    <webPr xl2000="1" htmlTables="1" htmlFormat="all"/>
  </connection>
  <connection id="717" name="Conexão7511" type="4" refreshedVersion="3" deleted="1" background="1" saveData="1">
    <webPr xl2000="1" htmlTables="1" htmlFormat="all"/>
  </connection>
  <connection id="71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19" name="Conexão761" type="4" refreshedVersion="3" deleted="1" background="1" saveData="1">
    <webPr xl2000="1" htmlTables="1" htmlFormat="all"/>
  </connection>
  <connection id="720" name="Conexão7611" type="4" refreshedVersion="3" deleted="1" background="1" saveData="1">
    <webPr xl2000="1" htmlTables="1" htmlFormat="all"/>
  </connection>
  <connection id="72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2" name="Conexão771" type="4" refreshedVersion="3" deleted="1" background="1" saveData="1">
    <webPr xl2000="1" htmlTables="1" htmlFormat="all"/>
  </connection>
  <connection id="723" name="Conexão7711" type="4" refreshedVersion="3" deleted="1" background="1" saveData="1">
    <webPr xl2000="1" htmlTables="1" htmlFormat="all"/>
  </connection>
  <connection id="72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5" name="Conexão781" type="4" refreshedVersion="3" deleted="1" background="1" saveData="1">
    <webPr xl2000="1" htmlTables="1" htmlFormat="all"/>
  </connection>
  <connection id="726" name="Conexão7811" type="4" refreshedVersion="3" deleted="1" background="1" saveData="1">
    <webPr xl2000="1" htmlTables="1" htmlFormat="all"/>
  </connection>
  <connection id="72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91" type="4" refreshedVersion="3" deleted="1" background="1" saveData="1">
    <webPr xl2000="1" htmlTables="1" htmlFormat="all"/>
  </connection>
  <connection id="729" name="Conexão7911" type="4" refreshedVersion="3" deleted="1" background="1" saveData="1">
    <webPr xl2000="1" htmlTables="1" htmlFormat="all"/>
  </connection>
  <connection id="730" name="Conexão8" type="4" refreshedVersion="0" background="1" saveData="1">
    <webPr url="http://download.finance.yahoo.com/d/quotes.csv?s=IDVL3.SA+IDVL4.SA+IDVL11.SA&amp;f=nol1hgd1" htmlTables="1" htmlFormat="all"/>
  </connection>
  <connection id="73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2" name="Conexão801" type="4" refreshedVersion="3" deleted="1" background="1" saveData="1">
    <webPr xl2000="1" htmlTables="1" htmlFormat="all"/>
  </connection>
  <connection id="733" name="Conexão8011" type="4" refreshedVersion="3" deleted="1" background="1" saveData="1">
    <webPr xl2000="1" htmlTables="1" htmlFormat="all"/>
  </connection>
  <connection id="73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5" name="Conexão810" type="4" refreshedVersion="0" background="1" saveData="1">
    <webPr url="http://download.finance.yahoo.com/d/quotes.csv?s=IDVL3.SA+IDVL4.SA+IDVL11.SA&amp;f=nol1hgd1" htmlTables="1" htmlFormat="all"/>
  </connection>
  <connection id="736" name="Conexão8101" type="4" refreshedVersion="0" background="1" saveData="1">
    <webPr url="http://download.finance.yahoo.com/d/quotes.csv?s=IDVL3.SA+IDVL4.SA+IDVL11.SA&amp;f=nol1hgd1" htmlTables="1" htmlFormat="all"/>
  </connection>
  <connection id="73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2" type="4" refreshedVersion="3" deleted="1" background="1" saveData="1">
    <webPr xl2000="1" htmlTables="1" htmlFormat="all"/>
  </connection>
  <connection id="741" name="Conexão8121" type="4" refreshedVersion="3" deleted="1" background="1" saveData="1">
    <webPr xl2000="1" htmlTables="1" htmlFormat="all"/>
  </connection>
  <connection id="742" name="Conexão813" type="4" refreshedVersion="0" deleted="1" background="1" saveData="1">
    <webPr htmlTables="1" htmlFormat="all"/>
  </connection>
  <connection id="743" name="Conexão8131" type="4" refreshedVersion="0" deleted="1" background="1" saveData="1">
    <webPr htmlTables="1" htmlFormat="all"/>
  </connection>
  <connection id="744" name="Conexão814" type="4" refreshedVersion="0" deleted="1" background="1" saveData="1">
    <webPr htmlTables="1" htmlFormat="all"/>
  </connection>
  <connection id="745" name="Conexão8141" type="4" refreshedVersion="0" deleted="1" background="1" saveData="1">
    <webPr htmlTables="1" htmlFormat="all"/>
  </connection>
  <connection id="74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7" name="Conexão821" type="4" refreshedVersion="3" deleted="1" background="1" saveData="1">
    <webPr xl2000="1" htmlTables="1" htmlFormat="all"/>
  </connection>
  <connection id="748" name="Conexão8211" type="4" refreshedVersion="3" deleted="1" background="1" saveData="1">
    <webPr xl2000="1" htmlTables="1" htmlFormat="all"/>
  </connection>
  <connection id="74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5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2" name="Conexão871" type="4" refreshedVersion="3" deleted="1" background="1" saveData="1">
    <webPr xl2000="1" htmlTables="1" htmlFormat="all"/>
  </connection>
  <connection id="763" name="Conexão8711" type="4" refreshedVersion="3" deleted="1" background="1" saveData="1">
    <webPr xl2000="1" htmlTables="1" htmlFormat="all"/>
  </connection>
  <connection id="76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5" name="Conexão881" type="4" refreshedVersion="0" deleted="1" background="1" saveData="1">
    <webPr htmlTables="1" htmlFormat="all"/>
  </connection>
  <connection id="76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9" type="4" refreshedVersion="0" background="1" saveData="1">
    <webPr url="http://download.finance.yahoo.com/d/quotes.csv?s=IDVL3.SA+IDVL4.SA+BMEB3.SA+BMEB4.SA&amp;f=nol1hgd1" htmlTables="1" htmlFormat="all"/>
  </connection>
  <connection id="77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7" name="Conexão910" type="4" refreshedVersion="0" background="1" saveData="1">
    <webPr url="http://download.finance.yahoo.com/d/quotes.csv?s=IDVL3.SA+IDVL4.SA+BMEB3.SA+BMEB4.SA&amp;f=nol1hgd1" htmlTables="1" htmlFormat="all"/>
  </connection>
  <connection id="778" name="Conexão9101" type="4" refreshedVersion="0" background="1" saveData="1">
    <webPr url="http://download.finance.yahoo.com/d/quotes.csv?s=IDVL3.SA+IDVL4.SA+BMEB3.SA+BMEB4.SA&amp;f=nol1hgd1" htmlTables="1" htmlFormat="all"/>
  </connection>
  <connection id="77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3" name="Conexão921" type="4" refreshedVersion="0" deleted="1" background="1" saveData="1">
    <webPr htmlTables="1" htmlFormat="all"/>
  </connection>
  <connection id="78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31" type="4" refreshedVersion="0" deleted="1" background="1" saveData="1">
    <webPr htmlTables="1" htmlFormat="all"/>
  </connection>
  <connection id="78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7" name="Conexão941" type="4" refreshedVersion="0" deleted="1" background="1" saveData="1">
    <webPr htmlTables="1" htmlFormat="all"/>
  </connection>
  <connection id="78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991" type="4" refreshedVersion="3" deleted="1" background="1" saveData="1">
    <webPr xl2000="1" htmlTables="1" htmlFormat="all"/>
  </connection>
  <connection id="80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0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2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8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89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0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4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8" type="4" refreshedVersion="4" background="1" saveData="1">
    <webPr xl2000="1" url="http://download.finance.yahoo.com/d/quotes.csv?s=IGUA3.SA+IGUA5.SA+IGUA6.SA&amp;f=nol1hgd1" htmlFormat="all"/>
  </connection>
  <connection id="993" name="Connection281" type="4" refreshedVersion="4" background="1" saveData="1">
    <webPr xl2000="1" url="http://download.finance.yahoo.com/d/quotes.csv?s=IGUA3.SA+IGUA5.SA+IGUA6.SA&amp;f=nol1hgd1" htmlFormat="all"/>
  </connection>
  <connection id="994" name="Connection29" type="4" refreshedVersion="4" background="1" saveData="1">
    <webPr xl2000="1" url="http://download.finance.yahoo.com/d/quotes.csv?s=IGUA3.SA+IGUA5.SA+IGUA6.SA+ODER3.SA+ODER4.SA&amp;f=nol1hgd1" htmlFormat="all"/>
  </connection>
  <connection id="995" name="Connection291" type="4" refreshedVersion="4" background="1" saveData="1">
    <webPr xl2000="1" url="http://download.finance.yahoo.com/d/quotes.csv?s=IGUA3.SA+IGUA5.SA+IGUA6.SA+ODER3.SA+ODER4.SA&amp;f=nol1hgd1" htmlFormat="all"/>
  </connection>
  <connection id="996" name="Connection2911" type="4" refreshedVersion="4" background="1" saveData="1">
    <webPr xl2000="1" url="http://download.finance.yahoo.com/d/quotes.csv?s=IGUA3.SA+IGUA5.SA+IGUA6.SA+ODER3.SA+ODER4.SA&amp;f=nol1hgd1" htmlFormat="all"/>
  </connection>
  <connection id="99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8" name="Connection30" type="4" refreshedVersion="4" background="1" saveData="1">
    <webPr xl2000="1" url="http://download.finance.yahoo.com/d/quotes.csv?s=IGUA3.SA+IGUA5.SA+IGUA6.SA+JOPA3.SA+JOPA4.SA&amp;f=nol1hgd1" htmlFormat="all"/>
  </connection>
  <connection id="999" name="Connection301" type="4" refreshedVersion="4" background="1" saveData="1">
    <webPr xl2000="1" url="http://download.finance.yahoo.com/d/quotes.csv?s=IGUA3.SA+IGUA5.SA+IGUA6.SA+JOPA3.SA+JOPA4.SA&amp;f=nol1hgd1" htmlFormat="all"/>
  </connection>
  <connection id="100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5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8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0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1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3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<sst xmlns="http://schemas.openxmlformats.org/spreadsheetml/2006/main" count="4322" uniqueCount="2081">
  <si>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</si>
  <si>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</si>
  <si>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</si>
  <si>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</si>
  <si>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</si>
  <si>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</si>
  <si>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</si>
  <si>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</si>
  <si>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</si>
  <si>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</si>
  <si>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</si>
  <si>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</si>
  <si>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</si>
  <si>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</si>
  <si>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</si>
  <si>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</si>
  <si>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</si>
  <si>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</si>
  <si>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</si>
  <si>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</si>
  <si>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</si>
  <si>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</si>
  <si>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</si>
  <si>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</si>
  <si>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</si>
  <si>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</si>
  <si>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</si>
  <si>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</si>
  <si>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</si>
  <si>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</si>
  <si>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</si>
  <si>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</si>
  <si>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</si>
  <si>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</si>
  <si>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</si>
  <si>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</si>
  <si>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</si>
  <si>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</si>
  <si>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</si>
  <si>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</si>
  <si>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</si>
  <si>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</si>
  <si>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</si>
  <si>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</si>
  <si>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</si>
  <si>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</si>
  <si>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</si>
  <si>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</si>
  <si>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</si>
  <si>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</si>
  <si>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</si>
  <si>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</si>
  <si>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</si>
  <si>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</si>
  <si>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</si>
  <si>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</si>
  <si>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</si>
  <si>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</si>
  <si>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</si>
  <si>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</si>
  <si>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</si>
  <si>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</si>
  <si>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</si>
  <si>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</si>
  <si>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</si>
  <si>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</si>
  <si>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</si>
  <si>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</si>
  <si>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</si>
  <si>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</si>
  <si>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</si>
  <si>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</si>
  <si>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</si>
  <si>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</si>
  <si>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</si>
  <si>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</si>
  <si>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</si>
  <si>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</si>
  <si>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</si>
  <si>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</si>
  <si>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</si>
  <si>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</si>
  <si>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</si>
  <si>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</si>
  <si>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</si>
  <si>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</si>
  <si>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</si>
  <si>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</si>
  <si>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</si>
  <si>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</si>
  <si>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</si>
  <si>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</si>
  <si>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</si>
  <si>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</si>
  <si>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</si>
  <si>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</si>
  <si>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</si>
  <si>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</si>
  <si>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</si>
  <si>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</si>
  <si>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</si>
  <si>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</si>
  <si>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</si>
  <si>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</si>
  <si>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</si>
  <si>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</si>
  <si>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</si>
  <si>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</si>
  <si>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</si>
  <si>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</si>
  <si>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</si>
  <si>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</si>
  <si>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</si>
  <si>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</si>
  <si>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</si>
  <si>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</si>
  <si>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</si>
  <si>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</si>
  <si>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</si>
  <si>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</si>
  <si>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</si>
  <si>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</si>
  <si>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</si>
  <si>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</si>
  <si>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</si>
  <si>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</si>
  <si>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</si>
  <si>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</si>
  <si>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</si>
  <si>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</si>
  <si>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</si>
  <si>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</si>
  <si>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</si>
  <si>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</si>
  <si>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</si>
  <si>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</si>
  <si>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</si>
  <si>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</si>
  <si>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</si>
  <si>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</si>
  <si>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</si>
  <si>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</si>
  <si>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</si>
  <si>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</si>
  <si>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</si>
  <si>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</si>
  <si>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</si>
  <si>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</si>
  <si>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</si>
  <si>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</si>
  <si>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</si>
  <si>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</si>
  <si>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</si>
  <si>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</si>
  <si>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</si>
  <si>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</si>
  <si>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</si>
  <si>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</si>
  <si>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</si>
  <si>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</si>
  <si>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</si>
  <si>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</si>
  <si>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</si>
  <si>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</si>
  <si>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</si>
  <si>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</si>
  <si>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</si>
  <si>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</si>
  <si>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</si>
  <si>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</si>
  <si>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</si>
  <si>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</si>
  <si>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</si>
  <si>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</si>
  <si>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</si>
  <si>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</si>
  <si>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</si>
  <si>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</si>
  <si>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</si>
  <si>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</si>
  <si>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</si>
  <si>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</si>
  <si>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</si>
  <si>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</si>
  <si>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</si>
  <si>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</si>
  <si>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</si>
  <si>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</si>
  <si>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</si>
  <si>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</si>
  <si>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</si>
  <si>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</si>
  <si>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</si>
  <si>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</si>
  <si>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</si>
  <si>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</si>
  <si>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</si>
  <si>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</si>
  <si>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</si>
  <si>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</si>
  <si>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</si>
  <si>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</si>
  <si>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</si>
  <si>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</si>
  <si>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</si>
  <si>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</si>
  <si>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</si>
  <si>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</si>
  <si>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</si>
  <si>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</si>
  <si>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</si>
  <si>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</si>
  <si>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</si>
  <si>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</si>
  <si>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</si>
  <si>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</si>
  <si>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</si>
  <si>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</si>
  <si>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</si>
  <si>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</si>
  <si>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</si>
  <si>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</si>
  <si>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</si>
  <si>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</si>
  <si>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</si>
  <si>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</si>
  <si>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</si>
  <si>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</si>
  <si>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</si>
  <si>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</si>
  <si>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</si>
  <si>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</si>
  <si>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</si>
  <si>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</si>
  <si>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</si>
  <si>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</si>
  <si>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</si>
  <si>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</si>
  <si>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</si>
  <si>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</si>
  <si>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</si>
  <si>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</si>
  <si>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</si>
  <si>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</si>
  <si>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</si>
  <si>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</si>
  <si>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</si>
  <si>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</si>
  <si>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</si>
  <si>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</si>
  <si>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</si>
  <si>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</si>
  <si>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</si>
  <si>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</si>
  <si>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</si>
  <si>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</si>
  <si>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</si>
  <si>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</si>
  <si>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</si>
  <si>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</si>
  <si>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</si>
  <si>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</si>
  <si>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</si>
  <si>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</si>
  <si>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</si>
  <si>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</si>
  <si>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</si>
  <si>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</si>
  <si>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</si>
  <si>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</si>
  <si>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</si>
  <si>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</si>
  <si>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</si>
  <si>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</si>
  <si>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</si>
  <si>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</si>
  <si>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</si>
  <si>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</si>
  <si>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</si>
  <si>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</si>
  <si>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</si>
  <si>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</si>
  <si>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</si>
  <si>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</si>
  <si>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</si>
  <si>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</si>
  <si>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</si>
  <si>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</si>
  <si>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</si>
  <si>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</si>
  <si>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</si>
  <si>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</si>
  <si>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</si>
  <si>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</si>
  <si>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</si>
  <si>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</si>
  <si>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</si>
  <si>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</si>
  <si>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</si>
  <si>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</si>
  <si>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</si>
  <si>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</si>
  <si>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</si>
  <si>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</si>
  <si>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</si>
  <si>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</si>
  <si>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</si>
  <si>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</si>
  <si>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</si>
  <si>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</si>
  <si>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</si>
  <si>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</si>
  <si>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</si>
  <si>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</si>
  <si>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</si>
  <si>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</si>
  <si>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</si>
  <si>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</si>
  <si>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</si>
  <si>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</si>
  <si>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</si>
  <si>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</si>
  <si>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</si>
  <si>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</si>
  <si>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</si>
  <si>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</si>
  <si>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</si>
  <si>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</si>
  <si>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</si>
  <si>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</si>
  <si>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</si>
  <si>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</si>
  <si>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</si>
  <si>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</si>
  <si>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</si>
  <si>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</si>
  <si>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</si>
  <si>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</si>
  <si>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</si>
  <si>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</si>
  <si>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</si>
  <si>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</si>
  <si>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</si>
  <si>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</si>
  <si>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</si>
  <si>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</si>
  <si>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</si>
  <si>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</si>
  <si>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</si>
  <si>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</si>
  <si>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</si>
  <si>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</si>
  <si>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</si>
  <si>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</si>
  <si>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</si>
  <si>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</si>
  <si>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</si>
  <si>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</si>
  <si>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</si>
  <si>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</si>
  <si>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</si>
  <si>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</si>
  <si>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</si>
  <si>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</si>
  <si>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</si>
  <si>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</si>
  <si>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</si>
  <si>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</si>
  <si>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</si>
  <si>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</si>
  <si>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</si>
  <si>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</si>
  <si>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</si>
  <si>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</si>
  <si>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</si>
  <si>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</si>
  <si>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</si>
  <si>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</si>
  <si>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</si>
  <si>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</si>
  <si>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</si>
  <si>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</si>
  <si>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</si>
  <si>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</si>
  <si>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</si>
  <si>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</si>
  <si>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</si>
  <si>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</si>
  <si>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</si>
  <si>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</si>
  <si>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</si>
  <si>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</si>
  <si>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</si>
  <si>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</si>
  <si>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</si>
  <si>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</si>
  <si>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</si>
  <si>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</si>
  <si>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</si>
  <si>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</si>
  <si>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</si>
  <si>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</si>
  <si>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</si>
  <si>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</si>
  <si>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</si>
  <si>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</si>
  <si>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</si>
  <si>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</si>
  <si>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</si>
  <si>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</si>
  <si>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</si>
  <si>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</si>
  <si>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</si>
  <si>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</si>
  <si>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</si>
  <si>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</si>
  <si>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</si>
  <si>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</si>
  <si>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</si>
  <si>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</si>
  <si>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</si>
  <si>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</si>
  <si>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</si>
  <si>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</si>
  <si>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</si>
  <si>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</si>
  <si>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</si>
  <si>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</si>
  <si>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</si>
  <si>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</si>
  <si>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</si>
  <si>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</si>
  <si>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</si>
  <si>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</si>
  <si>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</si>
  <si>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</si>
  <si>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</si>
  <si>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</si>
  <si>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</si>
  <si>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</si>
  <si>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</si>
  <si>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</si>
  <si>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</si>
  <si>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</si>
  <si>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</si>
  <si>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</si>
  <si>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</si>
  <si>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</si>
  <si>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</si>
  <si>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</si>
  <si>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</si>
  <si>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</si>
  <si>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</si>
  <si>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</si>
  <si>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</si>
  <si>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</si>
  <si>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</si>
  <si>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</si>
  <si>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</si>
  <si>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</si>
  <si>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</si>
  <si>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</si>
  <si>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</si>
  <si>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</si>
  <si>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</si>
  <si>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</si>
  <si>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</si>
  <si>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</si>
  <si>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</si>
  <si>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</si>
  <si>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</si>
  <si>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</si>
  <si>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</si>
  <si>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</si>
  <si>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</si>
  <si>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</si>
  <si>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</si>
  <si>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</si>
  <si>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</si>
  <si>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</si>
  <si>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</si>
  <si>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</si>
  <si>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</si>
  <si>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</si>
  <si>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</si>
  <si>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</si>
  <si>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</si>
  <si>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</si>
  <si>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</si>
  <si>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</si>
  <si>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</si>
  <si>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</si>
  <si>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</si>
  <si>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</si>
  <si>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</si>
  <si>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</si>
  <si>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</si>
  <si>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</si>
  <si>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</si>
  <si>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</si>
  <si>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</si>
  <si>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</si>
  <si>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</si>
  <si>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</si>
  <si>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</si>
  <si>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</si>
  <si>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</si>
  <si>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</si>
  <si>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</si>
  <si>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</si>
  <si>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</si>
  <si>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</si>
  <si>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</si>
  <si>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</si>
  <si>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</si>
  <si>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</si>
  <si>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</si>
  <si>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</si>
  <si>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</si>
  <si>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</si>
  <si>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</si>
  <si>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</si>
  <si>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</si>
  <si>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</si>
  <si>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</si>
  <si>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</si>
  <si>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</si>
  <si>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</si>
  <si>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</si>
  <si>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</si>
  <si>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</si>
  <si>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</si>
  <si>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</si>
  <si>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</si>
  <si>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</si>
  <si>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</si>
  <si>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</si>
  <si>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</si>
  <si>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</si>
  <si>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</si>
  <si>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</si>
  <si>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</si>
  <si>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</si>
  <si>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</si>
  <si>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</si>
  <si>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</si>
  <si>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</si>
  <si>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</si>
  <si>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</si>
  <si>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</si>
  <si>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</si>
  <si>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</si>
  <si>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</si>
  <si>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</si>
  <si>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</si>
  <si>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</si>
  <si>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</si>
  <si>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</si>
  <si>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</si>
  <si>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</si>
  <si>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</si>
  <si>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</si>
  <si>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</si>
  <si>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</si>
  <si>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</si>
  <si>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</si>
  <si>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</si>
  <si>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</si>
  <si>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</si>
  <si>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</si>
  <si>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</si>
  <si>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</si>
  <si>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</si>
  <si>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</si>
  <si>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</si>
  <si>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</si>
  <si>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</si>
  <si>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</si>
  <si>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</si>
  <si>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</si>
  <si>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</si>
  <si>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</si>
  <si>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</si>
  <si>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</si>
  <si>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</si>
  <si>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</si>
  <si>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</si>
  <si>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</si>
  <si>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</si>
  <si>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</si>
  <si>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</si>
  <si>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</si>
  <si>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</si>
  <si>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</si>
  <si>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</si>
  <si>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</si>
  <si>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</si>
  <si>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</si>
  <si>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</si>
  <si>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</si>
  <si>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</si>
  <si>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</si>
  <si>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</si>
  <si>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</si>
  <si>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</si>
  <si>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</si>
  <si>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</si>
  <si>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</si>
  <si>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</si>
  <si>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</si>
  <si>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</si>
  <si>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</si>
  <si>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</si>
  <si>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</si>
  <si>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</si>
  <si>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</si>
  <si>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</si>
  <si>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</si>
  <si>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</si>
  <si>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</si>
  <si>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</si>
  <si>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</si>
  <si>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</si>
  <si>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</si>
  <si>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</si>
  <si>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</si>
  <si>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</si>
  <si>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</si>
  <si>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</si>
  <si>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</si>
  <si>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</si>
  <si>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</si>
  <si>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</si>
  <si>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</si>
  <si>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TELEF BRASIL-ON</t>
  </si>
  <si>
    <t>TELEF BRASIL-PN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</si>
  <si>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</si>
  <si>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</si>
  <si>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</si>
  <si>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</si>
  <si>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</si>
  <si>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</si>
  <si>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</si>
  <si>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</si>
  <si>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</si>
  <si>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</si>
  <si>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</si>
  <si>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</si>
  <si>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</si>
  <si>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</si>
  <si>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</si>
  <si>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</si>
  <si>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</si>
  <si>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</si>
  <si>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</si>
  <si>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</si>
  <si>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</si>
  <si>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</si>
  <si>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</si>
  <si>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</si>
  <si>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</si>
  <si>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</si>
  <si>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</si>
  <si>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</si>
  <si>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</si>
  <si>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</si>
  <si>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</si>
  <si>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</si>
  <si>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</si>
  <si>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</si>
  <si>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</si>
  <si>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</si>
  <si>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</si>
  <si>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</si>
  <si>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</si>
  <si>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</si>
  <si>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</si>
  <si>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</si>
  <si>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</si>
  <si>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</si>
  <si>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</si>
  <si>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</si>
  <si>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</si>
  <si>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</si>
  <si>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</si>
  <si>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</si>
  <si>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</si>
  <si>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</si>
  <si>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</si>
  <si>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</si>
  <si>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</si>
  <si>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</si>
  <si>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</si>
  <si>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</si>
  <si>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</si>
  <si>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</si>
  <si>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</si>
  <si>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</si>
  <si>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</si>
  <si>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</si>
  <si>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</si>
  <si>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</si>
  <si>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</si>
  <si>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</si>
  <si>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</si>
  <si>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</si>
  <si>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</si>
  <si>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</si>
  <si>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</si>
  <si>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</si>
  <si>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</si>
  <si>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</si>
  <si>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</si>
  <si>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</si>
  <si>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</si>
  <si>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</si>
  <si>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</si>
  <si>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</si>
  <si>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</si>
  <si>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0.43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</si>
  <si>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</si>
  <si>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</si>
  <si>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</si>
  <si>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</si>
  <si>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</si>
  <si>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</si>
  <si>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</si>
  <si>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</si>
  <si>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</si>
  <si>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</si>
  <si>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</si>
  <si>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</si>
  <si>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</si>
  <si>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</si>
  <si>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</si>
  <si>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</si>
  <si>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</si>
  <si>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</si>
  <si>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</si>
  <si>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</si>
  <si>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</si>
  <si>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</si>
  <si>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11.50</t>
  </si>
  <si>
    <t>23.00</t>
  </si>
  <si>
    <t>16.00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</si>
  <si>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</si>
  <si>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</si>
  <si>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</si>
  <si>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</si>
  <si>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</si>
  <si>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</si>
  <si>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</si>
  <si>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</si>
  <si>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</si>
  <si>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</si>
  <si>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</si>
  <si>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</si>
  <si>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</si>
  <si>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</si>
  <si>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</si>
  <si>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</si>
  <si>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</si>
  <si>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</si>
  <si>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</si>
  <si>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</si>
  <si>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</si>
  <si>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</si>
  <si>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</si>
  <si>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</si>
  <si>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</si>
  <si>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</si>
  <si>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</si>
  <si>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</si>
  <si>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</si>
  <si>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</si>
  <si>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</si>
  <si>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</si>
  <si>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</si>
  <si>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</si>
  <si>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</si>
  <si>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</si>
  <si>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</si>
  <si>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</si>
  <si>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</si>
  <si>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</si>
  <si>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</si>
  <si>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</si>
  <si>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</si>
  <si>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</si>
  <si>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</si>
  <si>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</si>
  <si>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</si>
  <si>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</si>
  <si>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</si>
  <si>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</si>
  <si>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</si>
  <si>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</si>
  <si>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</si>
  <si>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</si>
  <si>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</si>
  <si>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</si>
  <si>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</si>
  <si>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</si>
  <si>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</si>
  <si>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</si>
  <si>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</si>
  <si>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</si>
  <si>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</si>
  <si>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</si>
  <si>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</si>
  <si>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</si>
  <si>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</si>
  <si>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</si>
  <si>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</si>
  <si>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</si>
  <si>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</si>
  <si>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</si>
  <si>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</si>
  <si>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</si>
  <si>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</si>
  <si>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</si>
  <si>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</si>
  <si>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</si>
  <si>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</si>
  <si>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</si>
  <si>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</si>
  <si>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</si>
  <si>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</si>
  <si>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</si>
  <si>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</si>
  <si>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</si>
  <si>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</si>
  <si>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</si>
  <si>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</si>
  <si>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</si>
  <si>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</si>
  <si>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</si>
  <si>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</si>
  <si>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</si>
  <si>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</si>
  <si>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</si>
  <si>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</si>
  <si>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</si>
  <si>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</si>
  <si>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</si>
  <si>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</si>
  <si>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</si>
  <si>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</si>
  <si>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</si>
  <si>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</si>
  <si>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</si>
  <si>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</si>
  <si>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</si>
  <si>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</si>
  <si>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</si>
  <si>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</si>
  <si>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</si>
  <si>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</si>
  <si>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</si>
  <si>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</si>
  <si>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</si>
  <si>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</si>
  <si>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</si>
  <si>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</si>
  <si>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</si>
  <si>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</si>
  <si>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</si>
  <si>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</si>
  <si>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</si>
  <si>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</si>
  <si>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</si>
  <si>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</si>
  <si>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</si>
  <si>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</si>
  <si>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</si>
  <si>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</si>
  <si>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</si>
  <si>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</si>
  <si>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</si>
  <si>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</si>
  <si>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</si>
  <si>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</si>
  <si>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</si>
  <si>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</si>
  <si>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</si>
  <si>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</si>
  <si>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</si>
  <si>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</si>
  <si>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</si>
  <si>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</si>
  <si>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</si>
  <si>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</si>
  <si>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</si>
  <si>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</si>
  <si>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11.10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</si>
  <si>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</si>
  <si>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</si>
  <si>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</si>
  <si>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</si>
  <si>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</si>
  <si>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</si>
  <si>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</si>
  <si>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</si>
  <si>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</si>
  <si>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</si>
  <si>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</si>
  <si>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</si>
  <si>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</si>
  <si>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</si>
  <si>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</si>
  <si>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0.60</t>
  </si>
  <si>
    <t>19.02</t>
  </si>
  <si>
    <t>0.79</t>
  </si>
  <si>
    <t>3.87</t>
  </si>
  <si>
    <t>85.00</t>
  </si>
  <si>
    <t>27.30</t>
  </si>
  <si>
    <t>10.90</t>
  </si>
  <si>
    <t>2.75</t>
  </si>
  <si>
    <t>49.00</t>
  </si>
  <si>
    <t>0.54</t>
  </si>
  <si>
    <t>2.81</t>
  </si>
  <si>
    <t>CELUL IRANI -ON</t>
  </si>
  <si>
    <t>CELUL IRANI -PN</t>
  </si>
  <si>
    <t>MONT ARANHA -ON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</si>
  <si>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</si>
  <si>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</si>
  <si>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</si>
  <si>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</si>
  <si>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</si>
  <si>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</si>
  <si>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</si>
  <si>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</si>
  <si>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</si>
  <si>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</si>
  <si>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</si>
  <si>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</si>
  <si>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</si>
  <si>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</si>
  <si>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</si>
  <si>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</si>
  <si>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</si>
  <si>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</si>
  <si>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</si>
  <si>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</si>
  <si>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</si>
  <si>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0.30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</si>
  <si>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</si>
  <si>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</si>
  <si>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</si>
  <si>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</si>
  <si>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</si>
  <si>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</si>
  <si>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</si>
  <si>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</si>
  <si>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</si>
  <si>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</si>
  <si>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</si>
  <si>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</si>
  <si>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</si>
  <si>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</si>
  <si>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</si>
  <si>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</si>
  <si>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</si>
  <si>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</si>
  <si>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</si>
  <si>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</si>
  <si>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</si>
  <si>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</si>
  <si>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</si>
  <si>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</si>
  <si>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</si>
  <si>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</si>
  <si>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</si>
  <si>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</si>
  <si>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</si>
  <si>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</si>
  <si>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</si>
  <si>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</si>
  <si>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</si>
  <si>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</si>
  <si>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</si>
  <si>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</si>
  <si>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</si>
  <si>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</si>
  <si>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</si>
  <si>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</si>
  <si>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</si>
  <si>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</si>
  <si>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</si>
  <si>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</si>
  <si>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</si>
  <si>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</si>
  <si>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</si>
  <si>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</si>
  <si>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</si>
  <si>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</si>
  <si>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</si>
  <si>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</si>
  <si>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</si>
  <si>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</si>
  <si>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</si>
  <si>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</si>
  <si>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</si>
  <si>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</si>
  <si>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</si>
  <si>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</si>
  <si>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</si>
  <si>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</si>
  <si>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</si>
  <si>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</si>
  <si>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</si>
  <si>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</si>
  <si>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</si>
  <si>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</si>
  <si>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</si>
  <si>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</si>
  <si>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</si>
  <si>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</si>
  <si>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</si>
  <si>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</si>
  <si>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</si>
  <si>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</si>
  <si>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</si>
  <si>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</si>
  <si>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8.15</t>
  </si>
  <si>
    <t>8.20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</si>
  <si>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</si>
  <si>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</si>
  <si>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</si>
  <si>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</si>
  <si>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</si>
  <si>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</si>
  <si>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</si>
  <si>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</si>
  <si>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</si>
  <si>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</si>
  <si>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</si>
  <si>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</si>
  <si>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</si>
  <si>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</si>
  <si>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</si>
  <si>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</si>
  <si>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</si>
  <si>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</si>
  <si>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</si>
  <si>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</si>
  <si>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</si>
  <si>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</si>
  <si>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</si>
  <si>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</si>
  <si>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</si>
  <si>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</si>
  <si>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</si>
  <si>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</si>
  <si>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</si>
  <si>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</si>
  <si>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</si>
  <si>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</si>
  <si>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</si>
  <si>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</si>
  <si>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</si>
  <si>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</si>
  <si>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</si>
  <si>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</si>
  <si>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</si>
  <si>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</si>
  <si>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</si>
  <si>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</si>
  <si>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</si>
  <si>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</si>
  <si>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</si>
  <si>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</si>
  <si>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</si>
  <si>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</si>
  <si>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</si>
  <si>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</si>
  <si>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</si>
  <si>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</si>
  <si>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</si>
  <si>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</si>
  <si>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</si>
  <si>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</si>
  <si>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</si>
  <si>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</si>
  <si>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</si>
  <si>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</si>
  <si>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</si>
  <si>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</si>
  <si>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</si>
  <si>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</si>
  <si>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</si>
  <si>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</si>
  <si>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</si>
  <si>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</si>
  <si>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</si>
  <si>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</si>
  <si>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</si>
  <si>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</si>
  <si>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</si>
  <si>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</si>
  <si>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</si>
  <si>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</si>
  <si>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</si>
  <si>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</si>
  <si>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</si>
  <si>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</si>
  <si>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</si>
  <si>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</si>
  <si>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</si>
  <si>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</si>
  <si>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</si>
  <si>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</si>
  <si>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</si>
  <si>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</si>
  <si>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</si>
  <si>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</si>
  <si>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</si>
  <si>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</si>
  <si>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</si>
  <si>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</si>
  <si>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</si>
  <si>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</si>
  <si>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</si>
  <si>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</si>
  <si>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</si>
  <si>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</si>
  <si>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</si>
  <si>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</si>
  <si>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</si>
  <si>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</si>
  <si>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</si>
  <si>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</si>
  <si>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</si>
  <si>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</si>
  <si>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</si>
  <si>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</si>
  <si>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</si>
  <si>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</si>
  <si>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</si>
  <si>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</si>
  <si>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</si>
  <si>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</si>
  <si>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</si>
  <si>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</si>
  <si>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</si>
  <si>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</si>
  <si>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</si>
  <si>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</si>
  <si>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</si>
  <si>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</si>
  <si>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</si>
  <si>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</si>
  <si>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</si>
  <si>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</si>
  <si>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1.98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</si>
  <si>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</si>
  <si>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</si>
  <si>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</si>
  <si>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</si>
  <si>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</si>
  <si>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</si>
  <si>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</si>
  <si>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</si>
  <si>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</si>
  <si>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</si>
  <si>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</si>
  <si>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</si>
  <si>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</si>
  <si>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</si>
  <si>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</si>
  <si>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</si>
  <si>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</si>
  <si>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</si>
  <si>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</si>
  <si>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</si>
  <si>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</si>
  <si>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</si>
  <si>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</si>
  <si>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</si>
  <si>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</si>
  <si>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</si>
  <si>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</si>
  <si>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</si>
  <si>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</si>
  <si>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</si>
  <si>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</si>
  <si>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</si>
  <si>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</si>
  <si>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</si>
  <si>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</si>
  <si>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</si>
  <si>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</si>
  <si>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</si>
  <si>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</si>
  <si>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</si>
  <si>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</si>
  <si>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</si>
  <si>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</si>
  <si>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</si>
  <si>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</si>
  <si>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</si>
  <si>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</si>
  <si>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</si>
  <si>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</si>
  <si>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</si>
  <si>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</si>
  <si>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</si>
  <si>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</si>
  <si>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</si>
  <si>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</si>
  <si>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</si>
  <si>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</si>
  <si>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</si>
  <si>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</si>
  <si>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</si>
  <si>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</si>
  <si>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</si>
  <si>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</si>
  <si>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</si>
  <si>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</si>
  <si>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</si>
  <si>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</si>
  <si>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</si>
  <si>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</si>
  <si>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</si>
  <si>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</si>
  <si>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</si>
  <si>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</si>
  <si>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</si>
  <si>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</si>
  <si>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</si>
  <si>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</si>
  <si>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</si>
  <si>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</si>
  <si>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</si>
  <si>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</si>
  <si>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</si>
  <si>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</si>
  <si>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</si>
  <si>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</si>
  <si>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</si>
  <si>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</si>
  <si>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</si>
  <si>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</si>
  <si>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</si>
  <si>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</si>
  <si>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</si>
  <si>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</si>
  <si>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</si>
  <si>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0.44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</si>
  <si>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</si>
  <si>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</si>
  <si>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</si>
  <si>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</si>
  <si>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</si>
  <si>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</si>
  <si>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</si>
  <si>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</si>
  <si>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</si>
  <si>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</si>
  <si>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</si>
  <si>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</si>
  <si>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</si>
  <si>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</si>
  <si>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</si>
  <si>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</si>
  <si>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</si>
  <si>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</si>
  <si>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</si>
  <si>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</si>
  <si>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</si>
  <si>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</si>
  <si>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</si>
  <si>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</si>
  <si>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</si>
  <si>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</si>
  <si>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</si>
  <si>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</si>
  <si>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</si>
  <si>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</si>
  <si>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</si>
  <si>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</si>
  <si>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</si>
  <si>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</si>
  <si>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</si>
  <si>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</si>
  <si>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</si>
  <si>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</si>
  <si>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</si>
  <si>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</si>
  <si>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</si>
  <si>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</si>
  <si>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</si>
  <si>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</si>
  <si>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</si>
  <si>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</si>
  <si>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</si>
  <si>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</si>
  <si>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</si>
  <si>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</si>
  <si>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</si>
  <si>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</si>
  <si>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</si>
  <si>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</si>
  <si>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</si>
  <si>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</si>
  <si>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</si>
  <si>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</si>
  <si>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</si>
  <si>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</si>
  <si>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</si>
  <si>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</si>
  <si>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</si>
  <si>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</si>
  <si>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</si>
  <si>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</si>
  <si>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</si>
  <si>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</si>
  <si>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</si>
  <si>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</si>
  <si>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</si>
  <si>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</si>
  <si>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</si>
  <si>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</si>
  <si>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10.50</t>
  </si>
  <si>
    <t>27.01</t>
  </si>
  <si>
    <t>0.99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</si>
  <si>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</si>
  <si>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</si>
  <si>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</si>
  <si>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</si>
  <si>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</si>
  <si>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</si>
  <si>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</si>
  <si>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</si>
  <si>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</si>
  <si>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</si>
  <si>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</si>
  <si>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</si>
  <si>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</si>
  <si>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</si>
  <si>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</si>
  <si>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</si>
  <si>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</si>
  <si>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</si>
  <si>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13.20</t>
  </si>
  <si>
    <t>1.48</t>
  </si>
  <si>
    <t>0.38</t>
  </si>
  <si>
    <t>6.62</t>
  </si>
  <si>
    <t>9.02</t>
  </si>
  <si>
    <t>1.52</t>
  </si>
  <si>
    <t>0.84</t>
  </si>
  <si>
    <t>0.16</t>
  </si>
  <si>
    <t>8.30</t>
  </si>
  <si>
    <t>9.03</t>
  </si>
  <si>
    <t>7.26</t>
  </si>
  <si>
    <t>16.98</t>
  </si>
  <si>
    <t>1.24</t>
  </si>
  <si>
    <t>0.21</t>
  </si>
  <si>
    <t>43.00</t>
  </si>
  <si>
    <t>0.31</t>
  </si>
  <si>
    <t>1.03</t>
  </si>
  <si>
    <t>18.50</t>
  </si>
  <si>
    <t>0.68</t>
  </si>
  <si>
    <t>0.42</t>
  </si>
  <si>
    <t>1.46</t>
  </si>
  <si>
    <t>11.31</t>
  </si>
  <si>
    <t>5.72</t>
  </si>
  <si>
    <t>15.50</t>
  </si>
  <si>
    <t>3.04</t>
  </si>
  <si>
    <t>2.29</t>
  </si>
  <si>
    <t>2.33</t>
  </si>
  <si>
    <t>5.11</t>
  </si>
  <si>
    <t>5.26</t>
  </si>
  <si>
    <t>9.60</t>
  </si>
  <si>
    <t>165.00</t>
  </si>
  <si>
    <t>3.79</t>
  </si>
  <si>
    <t>1.45</t>
  </si>
  <si>
    <t>5.49</t>
  </si>
  <si>
    <t>68.00</t>
  </si>
  <si>
    <t>0.15</t>
  </si>
  <si>
    <t>43.59</t>
  </si>
  <si>
    <t>5.73</t>
  </si>
  <si>
    <t>8.32</t>
  </si>
  <si>
    <t>16.50</t>
  </si>
  <si>
    <t>3.58</t>
  </si>
  <si>
    <t>5.10</t>
  </si>
  <si>
    <t>15.95</t>
  </si>
  <si>
    <t>4.02</t>
  </si>
  <si>
    <t>18.56</t>
  </si>
  <si>
    <t>7.01</t>
  </si>
  <si>
    <t>7.85</t>
  </si>
  <si>
    <t>3.31</t>
  </si>
  <si>
    <t>24.90</t>
  </si>
  <si>
    <t>12.75</t>
  </si>
  <si>
    <t>0.14</t>
  </si>
  <si>
    <t>5.70</t>
  </si>
  <si>
    <t>3.53</t>
  </si>
  <si>
    <t>8.96</t>
  </si>
  <si>
    <t>13.44</t>
  </si>
  <si>
    <t>0.32</t>
  </si>
  <si>
    <t xml:space="preserve">BANESTES    -ON  </t>
  </si>
  <si>
    <t xml:space="preserve">BANESTES    -PN  </t>
  </si>
  <si>
    <t xml:space="preserve">BANESE      -ON  </t>
  </si>
  <si>
    <t xml:space="preserve">BANESE      -PN  </t>
  </si>
  <si>
    <t xml:space="preserve">MERC INVEST -ON  </t>
  </si>
  <si>
    <t xml:space="preserve">MERC INVEST -PN  </t>
  </si>
  <si>
    <t>18.01</t>
  </si>
  <si>
    <t>48.50</t>
  </si>
  <si>
    <t>8.44</t>
  </si>
  <si>
    <t>11.48</t>
  </si>
  <si>
    <t>5.40</t>
  </si>
  <si>
    <t>8.94</t>
  </si>
  <si>
    <t>45.79</t>
  </si>
  <si>
    <t>13.99</t>
  </si>
  <si>
    <t>3.99</t>
  </si>
  <si>
    <t>4.09</t>
  </si>
  <si>
    <t>14.98</t>
  </si>
  <si>
    <t xml:space="preserve">MERC FINANC -ON  </t>
  </si>
  <si>
    <t xml:space="preserve">MERC FINANC -PN  </t>
  </si>
  <si>
    <t>59.99</t>
  </si>
  <si>
    <t>11.33</t>
  </si>
  <si>
    <t>4.50</t>
  </si>
  <si>
    <t xml:space="preserve">MERC BRASIL -PN  </t>
  </si>
  <si>
    <t>10.20</t>
  </si>
  <si>
    <t>14.92</t>
  </si>
  <si>
    <t>17.89</t>
  </si>
  <si>
    <t>4.25</t>
  </si>
  <si>
    <t>21.20</t>
  </si>
  <si>
    <t>6.26</t>
  </si>
  <si>
    <t>13.67</t>
  </si>
  <si>
    <t>27.00</t>
  </si>
  <si>
    <t>2.38</t>
  </si>
  <si>
    <t>5.94</t>
  </si>
  <si>
    <t>5.93</t>
  </si>
  <si>
    <t>14.31</t>
  </si>
  <si>
    <t>7.39</t>
  </si>
  <si>
    <t>7.07</t>
  </si>
  <si>
    <t>25.05</t>
  </si>
  <si>
    <t>8.25</t>
  </si>
  <si>
    <t>1.26</t>
  </si>
  <si>
    <t>1.37</t>
  </si>
  <si>
    <t>24.00</t>
  </si>
  <si>
    <t>21.30</t>
  </si>
  <si>
    <t>0.37</t>
  </si>
  <si>
    <t>7.35</t>
  </si>
  <si>
    <t>4.97</t>
  </si>
  <si>
    <t>17.70</t>
  </si>
  <si>
    <t>1.18</t>
  </si>
  <si>
    <t>0.67</t>
  </si>
  <si>
    <t>74.00</t>
  </si>
  <si>
    <t>17.74</t>
  </si>
  <si>
    <t>0.91</t>
  </si>
  <si>
    <t>4.35</t>
  </si>
  <si>
    <t>4.67</t>
  </si>
  <si>
    <t>1.47</t>
  </si>
  <si>
    <t>12.10</t>
  </si>
  <si>
    <t>4.41</t>
  </si>
  <si>
    <t>4.46</t>
  </si>
  <si>
    <t>3.52</t>
  </si>
  <si>
    <t>2.35</t>
  </si>
  <si>
    <t>17.40</t>
  </si>
  <si>
    <t>12.70</t>
  </si>
  <si>
    <t>15.18</t>
  </si>
  <si>
    <t>6.95</t>
  </si>
  <si>
    <t>8.75</t>
  </si>
  <si>
    <t>31.15</t>
  </si>
  <si>
    <t>14.37</t>
  </si>
  <si>
    <t>18.39</t>
  </si>
  <si>
    <t>83.99</t>
  </si>
  <si>
    <t>1.99</t>
  </si>
  <si>
    <t>24.88</t>
  </si>
  <si>
    <t>24.87</t>
  </si>
  <si>
    <t>0.81</t>
  </si>
  <si>
    <t>15.81</t>
  </si>
  <si>
    <t>24.09</t>
  </si>
  <si>
    <t>7.30</t>
  </si>
  <si>
    <t>4.64</t>
  </si>
  <si>
    <t>20.60</t>
  </si>
  <si>
    <t>7.10</t>
  </si>
  <si>
    <t>25.01</t>
  </si>
  <si>
    <t xml:space="preserve">BRB BANCO   -ON  </t>
  </si>
  <si>
    <t xml:space="preserve">BRB BANCO   -PN  </t>
  </si>
  <si>
    <t>15.90</t>
  </si>
  <si>
    <t>16.77</t>
  </si>
  <si>
    <t>4.90</t>
  </si>
  <si>
    <t>8.68</t>
  </si>
  <si>
    <t>8.98</t>
  </si>
  <si>
    <t>8.62</t>
  </si>
  <si>
    <t xml:space="preserve">ENERGISA    -UNT </t>
  </si>
  <si>
    <t xml:space="preserve">ENERGISA    -ON  </t>
  </si>
  <si>
    <t xml:space="preserve">ENERGISA    -PN  </t>
  </si>
  <si>
    <t>12.15</t>
  </si>
  <si>
    <t>11.61</t>
  </si>
  <si>
    <t>17.28</t>
  </si>
  <si>
    <t>8.77</t>
  </si>
  <si>
    <t>8.22</t>
  </si>
  <si>
    <t>10.75</t>
  </si>
  <si>
    <t>21.33</t>
  </si>
  <si>
    <t>18.00</t>
  </si>
  <si>
    <t>18.20</t>
  </si>
  <si>
    <t>33.15</t>
  </si>
  <si>
    <t>17.66</t>
  </si>
  <si>
    <t>17.56</t>
  </si>
  <si>
    <t>12.25</t>
  </si>
  <si>
    <t>15.60</t>
  </si>
  <si>
    <t>34.84</t>
  </si>
  <si>
    <t>9.80</t>
  </si>
  <si>
    <t>3.41</t>
  </si>
  <si>
    <t>29.52</t>
  </si>
  <si>
    <t>15.58</t>
  </si>
  <si>
    <t>2.15</t>
  </si>
  <si>
    <t>2.04</t>
  </si>
  <si>
    <t>37.29</t>
  </si>
  <si>
    <t>1.54</t>
  </si>
  <si>
    <t>14.05</t>
  </si>
  <si>
    <t>3.85</t>
  </si>
  <si>
    <t>9.79</t>
  </si>
  <si>
    <t>17.93</t>
  </si>
  <si>
    <t>17.76</t>
  </si>
  <si>
    <t>0.58</t>
  </si>
  <si>
    <t>3.03</t>
  </si>
  <si>
    <t>2.97</t>
  </si>
  <si>
    <t>24.50</t>
  </si>
  <si>
    <t>2.98</t>
  </si>
  <si>
    <t>15.07</t>
  </si>
  <si>
    <t>15.30</t>
  </si>
  <si>
    <t>8.65</t>
  </si>
  <si>
    <t>8.72</t>
  </si>
  <si>
    <t>20.61</t>
  </si>
  <si>
    <t>13.00</t>
  </si>
  <si>
    <t>13.28</t>
  </si>
  <si>
    <t>12.06</t>
  </si>
  <si>
    <t>14.22</t>
  </si>
  <si>
    <t>17.91</t>
  </si>
  <si>
    <t>13.30</t>
  </si>
  <si>
    <t>17.00</t>
  </si>
  <si>
    <t>17.50</t>
  </si>
  <si>
    <t>3.29</t>
  </si>
  <si>
    <t>13.93</t>
  </si>
  <si>
    <t>12.85</t>
  </si>
  <si>
    <t>10.13</t>
  </si>
  <si>
    <t>5.15</t>
  </si>
  <si>
    <t>6.96</t>
  </si>
  <si>
    <t>6.90</t>
  </si>
  <si>
    <t>25.33</t>
  </si>
  <si>
    <t>6.00</t>
  </si>
  <si>
    <t>5.79</t>
  </si>
  <si>
    <t>7.98</t>
  </si>
  <si>
    <t>1.21</t>
  </si>
  <si>
    <t>1.35</t>
  </si>
  <si>
    <t>7.40</t>
  </si>
  <si>
    <t>3.81</t>
  </si>
  <si>
    <t>3.89</t>
  </si>
  <si>
    <t>3.05</t>
  </si>
  <si>
    <t>4.06</t>
  </si>
  <si>
    <t>4.10</t>
  </si>
  <si>
    <t>11.54</t>
  </si>
  <si>
    <t>11.73</t>
  </si>
  <si>
    <t>20.19</t>
  </si>
  <si>
    <t>19.93</t>
  </si>
  <si>
    <t>20.38</t>
  </si>
  <si>
    <t>19.88</t>
  </si>
  <si>
    <t>29.36</t>
  </si>
  <si>
    <t>29.19</t>
  </si>
  <si>
    <t>29.79</t>
  </si>
  <si>
    <t>29.15</t>
  </si>
  <si>
    <t>27.85</t>
  </si>
  <si>
    <t>27.71</t>
  </si>
  <si>
    <t>28.13</t>
  </si>
  <si>
    <t>27.66</t>
  </si>
  <si>
    <t>7.04</t>
  </si>
  <si>
    <t>11.67</t>
  </si>
  <si>
    <t>12.04</t>
  </si>
  <si>
    <t>12.08</t>
  </si>
  <si>
    <t>26.11</t>
  </si>
  <si>
    <t>27.50</t>
  </si>
  <si>
    <t>26.01</t>
  </si>
  <si>
    <t>18.95</t>
  </si>
  <si>
    <t>18.92</t>
  </si>
  <si>
    <t>18.91</t>
  </si>
  <si>
    <t>22.13</t>
  </si>
  <si>
    <t>21.40</t>
  </si>
  <si>
    <t>22.24</t>
  </si>
  <si>
    <t>22.29</t>
  </si>
  <si>
    <t>21.13</t>
  </si>
  <si>
    <t>13.56</t>
  </si>
  <si>
    <t>13.42</t>
  </si>
  <si>
    <t>12.92</t>
  </si>
  <si>
    <t>12.90</t>
  </si>
  <si>
    <t>48.56</t>
  </si>
  <si>
    <t>48.57</t>
  </si>
  <si>
    <t>37.16</t>
  </si>
  <si>
    <t>36.86</t>
  </si>
  <si>
    <t>36.81</t>
  </si>
  <si>
    <t>16.32</t>
  </si>
  <si>
    <t>16.92</t>
  </si>
  <si>
    <t>16.25</t>
  </si>
  <si>
    <t>18.62</t>
  </si>
  <si>
    <t>17.98</t>
  </si>
  <si>
    <t>25.87</t>
  </si>
  <si>
    <t>24.98</t>
  </si>
  <si>
    <t>26.30</t>
  </si>
  <si>
    <t>33.18</t>
  </si>
  <si>
    <t>34.00</t>
  </si>
  <si>
    <t>31.76</t>
  </si>
  <si>
    <t>8.69</t>
  </si>
  <si>
    <t>8.60</t>
  </si>
  <si>
    <t>1.57</t>
  </si>
  <si>
    <t>4.91</t>
  </si>
  <si>
    <t>4.69</t>
  </si>
  <si>
    <t>4.93</t>
  </si>
  <si>
    <t>4.65</t>
  </si>
  <si>
    <t>8.59</t>
  </si>
  <si>
    <t>7.95</t>
  </si>
  <si>
    <t>7.77</t>
  </si>
  <si>
    <t>7.97</t>
  </si>
  <si>
    <t>7.73</t>
  </si>
  <si>
    <t>8.29</t>
  </si>
  <si>
    <t>8.70</t>
  </si>
  <si>
    <t>8.26</t>
  </si>
  <si>
    <t>1.90</t>
  </si>
  <si>
    <t>19.71</t>
  </si>
  <si>
    <t>19.75</t>
  </si>
  <si>
    <t>18.88</t>
  </si>
  <si>
    <t>11.85</t>
  </si>
  <si>
    <t>11.83</t>
  </si>
  <si>
    <t>57.99</t>
  </si>
  <si>
    <t>15.01</t>
  </si>
  <si>
    <t>14.85</t>
  </si>
  <si>
    <t>15.13</t>
  </si>
  <si>
    <t>14.83</t>
  </si>
  <si>
    <t>17.57</t>
  </si>
  <si>
    <t>17.49</t>
  </si>
  <si>
    <t>17.39</t>
  </si>
  <si>
    <t>0.09</t>
  </si>
  <si>
    <t>9.06</t>
  </si>
  <si>
    <t>9.20</t>
  </si>
  <si>
    <t>8.52</t>
  </si>
  <si>
    <t>29.83</t>
  </si>
  <si>
    <t>30.14</t>
  </si>
  <si>
    <t>29.51</t>
  </si>
  <si>
    <t>31.36</t>
  </si>
  <si>
    <t>31.03</t>
  </si>
  <si>
    <t>31.00</t>
  </si>
  <si>
    <t>11.25</t>
  </si>
  <si>
    <t>11.17</t>
  </si>
  <si>
    <t>16.89</t>
  </si>
  <si>
    <t>16.93</t>
  </si>
  <si>
    <t>7.72</t>
  </si>
  <si>
    <t>10.51</t>
  </si>
  <si>
    <t>33.20</t>
  </si>
  <si>
    <t>32.71</t>
  </si>
  <si>
    <t>32.70</t>
  </si>
  <si>
    <t>3.35</t>
  </si>
  <si>
    <t>5.20</t>
  </si>
  <si>
    <t>5.99</t>
  </si>
  <si>
    <t>20.94</t>
  </si>
  <si>
    <t>21.51</t>
  </si>
  <si>
    <t>20.84</t>
  </si>
  <si>
    <t>2.72</t>
  </si>
  <si>
    <t>2.76</t>
  </si>
  <si>
    <t>2.80</t>
  </si>
  <si>
    <t>2.70</t>
  </si>
  <si>
    <t>8.73</t>
  </si>
  <si>
    <t>8.71</t>
  </si>
  <si>
    <t>18.34</t>
  </si>
  <si>
    <t>18.11</t>
  </si>
  <si>
    <t>32.16</t>
  </si>
  <si>
    <t>33.32</t>
  </si>
  <si>
    <t>32.08</t>
  </si>
  <si>
    <t>24.30</t>
  </si>
  <si>
    <t>24.06</t>
  </si>
  <si>
    <t>0.62</t>
  </si>
  <si>
    <t>18.03</t>
  </si>
  <si>
    <t>17.46</t>
  </si>
  <si>
    <t>17.17</t>
  </si>
  <si>
    <t>17.07</t>
  </si>
  <si>
    <t>23.37</t>
  </si>
  <si>
    <t>23.12</t>
  </si>
  <si>
    <t>23.48</t>
  </si>
  <si>
    <t>23.04</t>
  </si>
  <si>
    <t>17.02</t>
  </si>
  <si>
    <t>16.42</t>
  </si>
  <si>
    <t>16.38</t>
  </si>
  <si>
    <t>20.21</t>
  </si>
  <si>
    <t>19.34</t>
  </si>
  <si>
    <t>19.27</t>
  </si>
  <si>
    <t>44.24</t>
  </si>
  <si>
    <t>43.95</t>
  </si>
  <si>
    <t>44.85</t>
  </si>
  <si>
    <t>16.02</t>
  </si>
  <si>
    <t>15.53</t>
  </si>
  <si>
    <t>12.53</t>
  </si>
  <si>
    <t>15.75</t>
  </si>
  <si>
    <t>15.19</t>
  </si>
  <si>
    <t>15.79</t>
  </si>
  <si>
    <t>18.40</t>
  </si>
  <si>
    <t>18.22</t>
  </si>
  <si>
    <t>18.44</t>
  </si>
  <si>
    <t>16.96</t>
  </si>
  <si>
    <t>16.51</t>
  </si>
  <si>
    <t>17.11</t>
  </si>
  <si>
    <t>10.21</t>
  </si>
  <si>
    <t>10.33</t>
  </si>
  <si>
    <t>10.44</t>
  </si>
  <si>
    <t>1.10</t>
  </si>
  <si>
    <t>19.41</t>
  </si>
  <si>
    <t>19.30</t>
  </si>
  <si>
    <t>19.60</t>
  </si>
  <si>
    <t>65.29</t>
  </si>
  <si>
    <t>65.09</t>
  </si>
  <si>
    <t>65.45</t>
  </si>
  <si>
    <t>64.75</t>
  </si>
  <si>
    <t>3.51</t>
  </si>
  <si>
    <t>29.99</t>
  </si>
  <si>
    <t>34.79</t>
  </si>
  <si>
    <t>33.99</t>
  </si>
  <si>
    <t>33.87</t>
  </si>
  <si>
    <t>25.40</t>
  </si>
  <si>
    <t>25.13</t>
  </si>
  <si>
    <t>10.73</t>
  </si>
  <si>
    <t>11.03</t>
  </si>
  <si>
    <t>10.67</t>
  </si>
  <si>
    <t>7.60</t>
  </si>
  <si>
    <t>8.56</t>
  </si>
  <si>
    <t>8.45</t>
  </si>
  <si>
    <t>5.30</t>
  </si>
  <si>
    <t>5.44</t>
  </si>
  <si>
    <t>21.88</t>
  </si>
  <si>
    <t>21.11</t>
  </si>
  <si>
    <t>7.61</t>
  </si>
  <si>
    <t>7.49</t>
  </si>
  <si>
    <t>5.65</t>
  </si>
  <si>
    <t>46.47</t>
  </si>
  <si>
    <t>46.37</t>
  </si>
  <si>
    <t>47.31</t>
  </si>
  <si>
    <t>45.93</t>
  </si>
  <si>
    <t>3.80</t>
  </si>
  <si>
    <t>3.77</t>
  </si>
  <si>
    <t>3.57</t>
  </si>
  <si>
    <t>12.73</t>
  </si>
  <si>
    <t>13.19</t>
  </si>
  <si>
    <t>13.43</t>
  </si>
  <si>
    <t>13.62</t>
  </si>
  <si>
    <t>7.82</t>
  </si>
  <si>
    <t>8.17</t>
  </si>
  <si>
    <t>8.03</t>
  </si>
  <si>
    <t>35.47</t>
  </si>
  <si>
    <t>35.16</t>
  </si>
  <si>
    <t>35.59</t>
  </si>
  <si>
    <t>34.92</t>
  </si>
  <si>
    <t>30.29</t>
  </si>
  <si>
    <t>29.53</t>
  </si>
  <si>
    <t>15.71</t>
  </si>
  <si>
    <t>15.55</t>
  </si>
  <si>
    <t>15.84</t>
  </si>
  <si>
    <t>15.51</t>
  </si>
  <si>
    <t>14.99</t>
  </si>
  <si>
    <t>14.35</t>
  </si>
  <si>
    <t>1.89</t>
  </si>
  <si>
    <t>11.69</t>
  </si>
  <si>
    <t>51.94</t>
  </si>
  <si>
    <t>52.09</t>
  </si>
  <si>
    <t>53.30</t>
  </si>
  <si>
    <t>51.79</t>
  </si>
  <si>
    <t>27.08</t>
  </si>
  <si>
    <t>27.95</t>
  </si>
  <si>
    <t>26.98</t>
  </si>
  <si>
    <t>38.23</t>
  </si>
  <si>
    <t>38.60</t>
  </si>
  <si>
    <t>38.20</t>
  </si>
  <si>
    <t>44.19</t>
  </si>
  <si>
    <t>44.57</t>
  </si>
  <si>
    <t>44.88</t>
  </si>
  <si>
    <t>43.88</t>
  </si>
  <si>
    <t>0.95</t>
  </si>
  <si>
    <t>0.90</t>
  </si>
  <si>
    <t>41.65</t>
  </si>
  <si>
    <t>51.76</t>
  </si>
  <si>
    <t>50.60</t>
  </si>
  <si>
    <t>52.11</t>
  </si>
  <si>
    <t>50.39</t>
  </si>
  <si>
    <t>7.20</t>
  </si>
  <si>
    <t>7.12</t>
  </si>
  <si>
    <t>4.40</t>
  </si>
  <si>
    <t>4.47</t>
  </si>
  <si>
    <t>4.20</t>
  </si>
  <si>
    <t>3.71</t>
  </si>
  <si>
    <t>3.72</t>
  </si>
  <si>
    <t>3.73</t>
  </si>
  <si>
    <t>11.49</t>
  </si>
  <si>
    <t>11.71</t>
  </si>
  <si>
    <t>11.47</t>
  </si>
  <si>
    <t>44.40</t>
  </si>
  <si>
    <t>44.59</t>
  </si>
  <si>
    <t>44.89</t>
  </si>
  <si>
    <t>44.20</t>
  </si>
  <si>
    <t>2.53</t>
  </si>
  <si>
    <t>2.49</t>
  </si>
  <si>
    <t>2.57</t>
  </si>
  <si>
    <t>32.11</t>
  </si>
  <si>
    <t>33.14</t>
  </si>
  <si>
    <t>8.04</t>
  </si>
  <si>
    <t>8.06</t>
  </si>
  <si>
    <t>7.94</t>
  </si>
  <si>
    <t>2.34</t>
  </si>
  <si>
    <t>2.45</t>
  </si>
  <si>
    <t>2.30</t>
  </si>
  <si>
    <t>0.29</t>
  </si>
  <si>
    <t>9.61</t>
  </si>
  <si>
    <t>9.19</t>
  </si>
  <si>
    <t>9.67</t>
  </si>
  <si>
    <t>8.57</t>
  </si>
  <si>
    <t>8.55</t>
  </si>
  <si>
    <t>9.12</t>
  </si>
  <si>
    <t>9.66</t>
  </si>
  <si>
    <t>11.57</t>
  </si>
  <si>
    <t>11.30</t>
  </si>
  <si>
    <t>14.44</t>
  </si>
  <si>
    <t>14.15</t>
  </si>
  <si>
    <t>13.63</t>
  </si>
  <si>
    <t>17.62</t>
  </si>
  <si>
    <t>3.44</t>
  </si>
  <si>
    <t>3.36</t>
  </si>
  <si>
    <t>3.49</t>
  </si>
  <si>
    <t>0.47</t>
  </si>
  <si>
    <t>0.06</t>
  </si>
  <si>
    <t>2.96</t>
  </si>
  <si>
    <t>2.91</t>
  </si>
  <si>
    <t>24.74</t>
  </si>
  <si>
    <t>24.85</t>
  </si>
  <si>
    <t>25.57</t>
  </si>
  <si>
    <t>24.49</t>
  </si>
  <si>
    <t>56.49</t>
  </si>
  <si>
    <t>55.83</t>
  </si>
  <si>
    <t>56.56</t>
  </si>
  <si>
    <t>55.60</t>
  </si>
  <si>
    <t>30.01</t>
  </si>
  <si>
    <t>0.26</t>
  </si>
  <si>
    <t>0.27</t>
  </si>
  <si>
    <t>8.47</t>
  </si>
  <si>
    <t>8.12</t>
  </si>
  <si>
    <t>3.26</t>
  </si>
  <si>
    <t>3.23</t>
  </si>
  <si>
    <t>15.09</t>
  </si>
  <si>
    <t>19.69</t>
  </si>
  <si>
    <t>19.61</t>
  </si>
  <si>
    <t>19.83</t>
  </si>
  <si>
    <t>19.53</t>
  </si>
  <si>
    <t>20.91</t>
  </si>
  <si>
    <t>21.48</t>
  </si>
  <si>
    <t>20.71</t>
  </si>
  <si>
    <t>14.73</t>
  </si>
  <si>
    <t>14.23</t>
  </si>
  <si>
    <t>35.69</t>
  </si>
  <si>
    <t>35.84</t>
  </si>
  <si>
    <t>36.13</t>
  </si>
  <si>
    <t>35.44</t>
  </si>
  <si>
    <t>20.85</t>
  </si>
  <si>
    <t>20.40</t>
  </si>
  <si>
    <t>12.40</t>
  </si>
  <si>
    <t>12.45</t>
  </si>
  <si>
    <t>14.53</t>
  </si>
  <si>
    <t>14.64</t>
  </si>
  <si>
    <t>14.19</t>
  </si>
  <si>
    <t>22.98</t>
  </si>
  <si>
    <t>23.58</t>
  </si>
  <si>
    <t>23.64</t>
  </si>
  <si>
    <t>22.68</t>
  </si>
  <si>
    <t>14.60</t>
  </si>
  <si>
    <t>14.88</t>
  </si>
  <si>
    <t>15.12</t>
  </si>
  <si>
    <t>14.41</t>
  </si>
  <si>
    <t>16.39</t>
  </si>
  <si>
    <t>16.55</t>
  </si>
  <si>
    <t>16.61</t>
  </si>
  <si>
    <t>16.35</t>
  </si>
  <si>
    <t>4.86</t>
  </si>
  <si>
    <t>174.01</t>
  </si>
  <si>
    <t>179.59</t>
  </si>
  <si>
    <t>17.78</t>
  </si>
  <si>
    <t>17.65</t>
  </si>
  <si>
    <t>97.80</t>
  </si>
  <si>
    <t>98.12</t>
  </si>
  <si>
    <t>99.30</t>
  </si>
  <si>
    <t>96.67</t>
  </si>
  <si>
    <t>16.78</t>
  </si>
  <si>
    <t>16.68</t>
  </si>
  <si>
    <t>9.76</t>
  </si>
  <si>
    <t>3.98</t>
  </si>
  <si>
    <t>4.08</t>
  </si>
  <si>
    <t>3.92</t>
  </si>
  <si>
    <t>29.39</t>
  </si>
  <si>
    <t>28.76</t>
  </si>
  <si>
    <t>29.50</t>
  </si>
  <si>
    <t>28.42</t>
  </si>
  <si>
    <t>11.80</t>
  </si>
  <si>
    <t>13.48</t>
  </si>
  <si>
    <t>13.10</t>
  </si>
  <si>
    <t>13.50</t>
  </si>
  <si>
    <t>13.06</t>
  </si>
  <si>
    <t>14.04</t>
  </si>
  <si>
    <t>14.33</t>
  </si>
  <si>
    <t>27.33</t>
  </si>
  <si>
    <t>26.09</t>
  </si>
  <si>
    <t>26.04</t>
  </si>
  <si>
    <t>1.41</t>
  </si>
  <si>
    <t>1.39</t>
  </si>
  <si>
    <t>325.01</t>
  </si>
  <si>
    <t>320.50</t>
  </si>
  <si>
    <t>326.00</t>
  </si>
  <si>
    <t>0.86</t>
  </si>
  <si>
    <t>0.87</t>
  </si>
  <si>
    <t>9.11</t>
  </si>
  <si>
    <t>2.01</t>
  </si>
  <si>
    <t>2.13</t>
  </si>
  <si>
    <t>11.19</t>
  </si>
  <si>
    <t>17.41</t>
  </si>
  <si>
    <t>17.35</t>
  </si>
  <si>
    <t>3.21</t>
  </si>
  <si>
    <t>2.05</t>
  </si>
  <si>
    <t>2.10</t>
  </si>
  <si>
    <t>2.24</t>
  </si>
  <si>
    <t>4.98</t>
  </si>
  <si>
    <t>14.97</t>
  </si>
  <si>
    <t>13.02</t>
  </si>
  <si>
    <t>12.89</t>
  </si>
  <si>
    <t>13.24</t>
  </si>
  <si>
    <t>10.68</t>
  </si>
  <si>
    <t>10.87</t>
  </si>
  <si>
    <t>10.65</t>
  </si>
  <si>
    <t>0.23</t>
  </si>
  <si>
    <t>7.14</t>
  </si>
  <si>
    <t>7.05</t>
  </si>
  <si>
    <t>26.88</t>
  </si>
  <si>
    <t>26.59</t>
  </si>
  <si>
    <t>26.95</t>
  </si>
  <si>
    <t>26.44</t>
  </si>
  <si>
    <t>3.28</t>
  </si>
  <si>
    <t>3.37</t>
  </si>
  <si>
    <t>91.21</t>
  </si>
  <si>
    <t>89.63</t>
  </si>
  <si>
    <t>91.29</t>
  </si>
  <si>
    <t>89.53</t>
  </si>
  <si>
    <t>83.90</t>
  </si>
  <si>
    <t>83.00</t>
  </si>
  <si>
    <t>82.99</t>
  </si>
  <si>
    <t>7.18</t>
  </si>
  <si>
    <t>6.94</t>
  </si>
  <si>
    <t>25.38</t>
  </si>
  <si>
    <t>25.83</t>
  </si>
  <si>
    <t>25.20</t>
  </si>
  <si>
    <t>6.40</t>
  </si>
  <si>
    <t>5.86</t>
  </si>
  <si>
    <t>15.04</t>
  </si>
  <si>
    <t>4.19</t>
  </si>
  <si>
    <t>4.07</t>
  </si>
  <si>
    <t>3.97</t>
  </si>
  <si>
    <t>6.37</t>
  </si>
  <si>
    <t>6.01</t>
  </si>
  <si>
    <t>6.10</t>
  </si>
  <si>
    <t>58.23</t>
  </si>
  <si>
    <t>57.75</t>
  </si>
  <si>
    <t>59.12</t>
  </si>
  <si>
    <t>57.67</t>
  </si>
  <si>
    <t>9.70</t>
  </si>
  <si>
    <t>9.84</t>
  </si>
  <si>
    <t>8.39</t>
  </si>
  <si>
    <t>28.05</t>
  </si>
  <si>
    <t>1.42</t>
  </si>
  <si>
    <t>11.15</t>
  </si>
  <si>
    <t>30.63</t>
  </si>
  <si>
    <t>30.40</t>
  </si>
  <si>
    <t>30.95</t>
  </si>
  <si>
    <t>30.38</t>
  </si>
  <si>
    <t>0.17</t>
  </si>
  <si>
    <t>1.65</t>
  </si>
  <si>
    <t>1.62</t>
  </si>
  <si>
    <t>1.68</t>
  </si>
  <si>
    <t>4.54</t>
  </si>
  <si>
    <t>17.87</t>
  </si>
  <si>
    <t>21.27</t>
  </si>
  <si>
    <t>20.66</t>
  </si>
  <si>
    <t>7.47</t>
  </si>
  <si>
    <t>7.46</t>
  </si>
  <si>
    <t>7.41</t>
  </si>
  <si>
    <t>14.08</t>
  </si>
  <si>
    <t>14.36</t>
  </si>
  <si>
    <t>14.61</t>
  </si>
  <si>
    <t>3.90</t>
  </si>
  <si>
    <t>4.57</t>
  </si>
  <si>
    <t>4.38</t>
  </si>
  <si>
    <t>3.07</t>
  </si>
  <si>
    <t>24.29</t>
  </si>
  <si>
    <t>23.55</t>
  </si>
  <si>
    <t>23.44</t>
  </si>
  <si>
    <t>6.12</t>
  </si>
  <si>
    <t>3.82</t>
  </si>
  <si>
    <t>3.84</t>
  </si>
  <si>
    <t>4.04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</si>
  <si>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</t>
  </si>
  <si>
    <t>3.06</t>
  </si>
  <si>
    <t>1.07</t>
  </si>
  <si>
    <t>5.03</t>
  </si>
  <si>
    <t>4.87</t>
  </si>
  <si>
    <t>12.56</t>
  </si>
  <si>
    <t>12.16</t>
  </si>
  <si>
    <t>12.88</t>
  </si>
  <si>
    <t>12.11</t>
  </si>
  <si>
    <t>1.32</t>
  </si>
  <si>
    <t>4.27</t>
  </si>
  <si>
    <t>4.33</t>
  </si>
  <si>
    <t>19.72</t>
  </si>
  <si>
    <t>19.66</t>
  </si>
  <si>
    <t>19.80</t>
  </si>
  <si>
    <t>6.02</t>
  </si>
  <si>
    <t>5.80</t>
  </si>
  <si>
    <t>2.22</t>
  </si>
  <si>
    <t>25.26</t>
  </si>
  <si>
    <t>25.60</t>
  </si>
  <si>
    <t>28.88</t>
  </si>
  <si>
    <t>28.69</t>
  </si>
  <si>
    <t>28.31</t>
  </si>
  <si>
    <t>18.29</t>
  </si>
  <si>
    <t>18.35</t>
  </si>
  <si>
    <t>16.85</t>
  </si>
  <si>
    <t>16.27</t>
  </si>
  <si>
    <t>16.26</t>
  </si>
  <si>
    <t>12.99</t>
  </si>
  <si>
    <t>12.80</t>
  </si>
  <si>
    <t>13.14</t>
  </si>
  <si>
    <t>8.82</t>
  </si>
  <si>
    <t>8.91</t>
  </si>
  <si>
    <t>0.69</t>
  </si>
  <si>
    <t>15.42</t>
  </si>
  <si>
    <t>15.62</t>
  </si>
  <si>
    <t>10.11</t>
  </si>
  <si>
    <t>8.76</t>
  </si>
  <si>
    <t>8.42</t>
  </si>
  <si>
    <t>8.38</t>
  </si>
  <si>
    <t>14.58</t>
  </si>
  <si>
    <t>13.96</t>
  </si>
  <si>
    <t>18.75</t>
  </si>
  <si>
    <t>18.89</t>
  </si>
  <si>
    <t>1.96</t>
  </si>
  <si>
    <t>1.75</t>
  </si>
  <si>
    <t>1.78</t>
  </si>
  <si>
    <t>100.11</t>
  </si>
  <si>
    <t>5.33</t>
  </si>
  <si>
    <t>5.24</t>
  </si>
  <si>
    <t>0.80</t>
  </si>
  <si>
    <t>36.17</t>
  </si>
  <si>
    <t>35.76</t>
  </si>
  <si>
    <t>35.56</t>
  </si>
  <si>
    <t>10.05</t>
  </si>
  <si>
    <t>10.25</t>
  </si>
  <si>
    <t>10.04</t>
  </si>
  <si>
    <t>30.39</t>
  </si>
  <si>
    <t>30.05</t>
  </si>
  <si>
    <t>30.79</t>
  </si>
  <si>
    <t>29.96</t>
  </si>
  <si>
    <t>20.78</t>
  </si>
  <si>
    <t>20.22</t>
  </si>
  <si>
    <t>15.46</t>
  </si>
  <si>
    <t>15.56</t>
  </si>
  <si>
    <t>15.73</t>
  </si>
  <si>
    <t>23.78</t>
  </si>
  <si>
    <t>23.21</t>
  </si>
  <si>
    <t>22.81</t>
  </si>
  <si>
    <t>23.36</t>
  </si>
  <si>
    <t>22.80</t>
  </si>
  <si>
    <t>4.48</t>
  </si>
  <si>
    <t>7.24</t>
  </si>
  <si>
    <t>8.31</t>
  </si>
  <si>
    <t>8.13</t>
  </si>
  <si>
    <t>17.69</t>
  </si>
  <si>
    <t>1.50</t>
  </si>
  <si>
    <t>4.59</t>
  </si>
  <si>
    <t>4.71</t>
  </si>
  <si>
    <t>4.66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</si>
</sst>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31" connectionId="60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1" connectionId="10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90" connectionId="7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68" connectionId="70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49" connectionId="62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" connectionId="104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98" connectionId="3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24" connectionId="3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0" connectionId="77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46" connectionId="22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96" connectionId="17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23" connectionId="34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37" connectionId="5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70" connectionId="37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20" connectionId="32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04" connectionId="7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67" connectionId="70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53" connectionId="80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62" connectionId="67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66" connectionId="69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04" connectionId="24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50" connectionId="28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01" connectionId="2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35" connectionId="77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33" connectionId="68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16" connectionId="30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63" connectionId="68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56" connectionId="6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4" connectionId="68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0" connectionId="8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44" connectionId="19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06" connectionId="27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58" connectionId="66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6" connectionId="10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62" connectionId="47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20" connectionId="30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19" connectionId="2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65" connectionId="68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6" connectionId="60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" connectionId="80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50" connectionId="7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69" connectionId="22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31" connectionId="90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05" connectionId="26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31" connectionId="36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24" connectionId="105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40" connectionId="58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71" connectionId="53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13" connectionId="29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7" connectionId="64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13" connectionId="19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11" connectionId="28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29" connectionId="107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51" connectionId="78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51" connectionId="63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80" connectionId="75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65" connectionId="5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74" connectionId="7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98" connectionId="18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52" connectionId="6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5" connectionId="7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77" connectionId="7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58" connectionId="40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26" connectionId="39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07" connectionId="27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43" connectionId="60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7" connectionId="106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3" connectionId="83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33" connectionId="93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22" connectionId="32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45" connectionId="60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72" connectionId="60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64" connectionId="68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73" connectionId="72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35" connectionId="53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09" connectionId="27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16" connectionId="2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43" connectionId="17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26" connectionId="34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53" connectionId="33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" connectionId="80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9" connectionId="37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36" connectionId="55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39" connectionId="58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82" connectionId="76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34" connectionId="73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47" connectionId="48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17" connectionId="26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52" connectionId="78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55" connectionId="64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44" connectionId="60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00" connectionId="22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54" connectionId="34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4" connectionId="37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34" connectionId="51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22" connectionId="80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30" connectionId="53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48" connectionId="26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17" connectionId="80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28" connectionId="42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69" connectionId="71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59" connectionId="66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15" connectionId="30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26" connectionId="105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5" connectionId="99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19" connectionId="95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57" connectionId="66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03" connectionId="73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76" connectionId="73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38" connectionId="389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47" connectionId="24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02" connectionId="23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40" connectionId="41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54" connectionId="64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75" connectionId="73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50" connectionId="62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33" connectionId="37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30" connectionId="35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83" connectionId="80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51" connectionId="30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21" connectionId="32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57" connectionId="39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42" connectionId="59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8" connectionId="22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20" connectionId="99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14" connectionId="21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45" connectionId="43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52" connectionId="32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63" connectionId="48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25" connectionId="37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38" connectionId="58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70" connectionId="71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32" connectionId="36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22" connectionId="33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66" connectionId="53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97" connectionId="17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81" connectionId="75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28" connectionId="34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46" connectionId="61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49" connectionId="60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55" connectionId="36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60" connectionId="67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24" connectionId="36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32" connectionId="92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9" connectionId="73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27" connectionId="40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41" connectionId="59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72" connectionId="72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78" connectionId="74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3" connectionId="80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33" connectionId="50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21" connectionId="32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29" connectionId="43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45" connectionId="21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25" connectionId="34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31" connectionId="47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237" connectionId="386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28" connectionId="107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49" connectionId="27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12" connectionId="17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03" connectionId="24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29" connectionId="35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18" connectionId="808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18" connectionId="27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18" connectionId="31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4" connectionId="95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53" connectionId="64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32" connectionId="48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15" connectionId="22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44" connectionId="42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59" connectionId="42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8" connectionId="22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56" connectionId="37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64" connectionId="50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23" connectionId="99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61" connectionId="45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35" connectionId="37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19" connectionId="31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61" connectionId="67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8" connectionId="68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12" connectionId="29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60" connectionId="43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47" connectionId="62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3" connectionId="22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48" connectionId="62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32" connectionId="64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71" connectionId="718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43" connectionId="419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41" connectionId="41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79" connectionId="75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30" connectionId="45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73" connectionId="64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39" connectionId="22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45" connectionId="21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62" connectionId="31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6" connectionId="61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327" connectionId="49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35" connectionId="979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343" connectionId="53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56" connectionId="65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95" connectionId="43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5" connectionId="74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361" connectionId="57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35" connectionId="78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51" connectionId="28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28" connectionId="91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92" connectionId="42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67" connectionId="76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93" connectionId="42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20" connectionId="30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77" connectionId="36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7" connectionId="104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75" connectionId="356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317" connectionId="47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60" connectionId="309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365" connectionId="57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80" connectionId="37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349" connectionId="54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63" connectionId="31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9" connectionId="73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233" connectionId="20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50" connectionId="92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17" connectionId="104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58" connectionId="298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1" connectionId="107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98" connectionId="44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24" connectionId="19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32" connectionId="95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21" connectionId="102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66" connectionId="539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30" connectionId="20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24" connectionId="80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59" connectionId="42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05" connectionId="45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41" connectionId="23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287" connectionId="40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367" connectionId="57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5" connectionId="100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96" connectionId="43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270" connectionId="34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358" connectionId="56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42" connectionId="1019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49" connectionId="27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31" connectionId="51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244" connectionId="260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223" connectionId="188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" connectionId="78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78" connectionId="370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8" connectionId="25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72" connectionId="35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342" connectionId="53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42" connectionId="23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33" connectionId="969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36" connectionId="98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32" connectionId="48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20" connectionId="78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44" connectionId="1055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24" connectionId="36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46" connectionId="26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76" connectionId="35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23" connectionId="49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51" connectionId="93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320" connectionId="48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344" connectionId="537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21" connectionId="18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39" connectionId="99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371" connectionId="71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57" connectionId="29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71" connectionId="34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25" connectionId="87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353" connectionId="560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26" connectionId="76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98" connectionId="39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53" connectionId="284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370" connectionId="59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90" connectionId="41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83" connectionId="80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281" connectionId="38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43" connectionId="24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50" connectionId="273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12" connectionId="17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31" connectionId="47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294" connectionId="430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337" connectionId="52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50" connectionId="29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29" connectionId="40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22" connectionId="109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00" connectionId="44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259" connectionId="301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58" connectionId="41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315" connectionId="47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30" connectionId="94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288" connectionId="40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304" connectionId="453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52" connectionId="558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279" connectionId="37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70" connectionId="398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27" connectionId="200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76" connectionId="78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54" connectionId="35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37" connectionId="21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60" connectionId="44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61" connectionId="46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43" connectionId="17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339" connectionId="52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222" connectionId="18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235" connectionId="217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6" connectionId="77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307" connectionId="46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311" connectionId="46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4" connectionId="394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34" connectionId="744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36" connectionId="51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37" connectionId="98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61" connectionId="31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ExternalData_34" connectionId="97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324" connectionId="49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291" connectionId="41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4" connectionId="96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362" connectionId="57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69" connectionId="24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ExternalData_47" connectionId="1081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34" connectionId="21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43" connectionId="105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46" connectionId="230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69" connectionId="333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97" connectionId="25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ExternalData_26" connectionId="888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308" connectionId="46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29" connectionId="93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60" connectionId="56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329" connectionId="50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25" connectionId="49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99" connectionId="447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09" connectionId="46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30" connectionId="55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282" connectionId="38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350" connectionId="548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ExternalData_13" connectionId="833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63" connectionId="57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16" connectionId="25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238" connectionId="22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1" connectionId="79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38" connectionId="99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36" connectionId="55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134" connectionId="52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28" connectionId="25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53" connectionId="335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56" connectionId="56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240" connectionId="22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ExternalData_2" connectionId="105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121" connectionId="32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8" connectionId="696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4" connectionId="701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47" connectionId="25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28" connectionId="50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326" connectionId="497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7" connectionId="655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302" connectionId="451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71" connectionId="55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49" connectionId="910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19" connectionId="482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297" connectionId="43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18" connectionId="85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65" connectionId="32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48" connectionId="82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333" connectionId="51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345" connectionId="54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369" connectionId="58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ExternalData_23" connectionId="1120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46" connectionId="1071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18" connectionId="280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146" connectionId="613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ExternalData_31" connectionId="948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229" connectionId="20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318" connectionId="479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219" connectionId="17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27" connectionId="902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68" connectionId="330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338" connectionId="527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330" connectionId="51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90" connectionId="78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25" connectionId="382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228" connectionId="20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10" connectionId="793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117" connectionId="26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ExternalData_3" connectionId="83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114" connectionId="21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40" connectionId="99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33" connectionId="504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25" connectionId="19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56" connectionId="286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45" connectionId="106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44" connectionId="19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375" connectionId="73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" connectionId="248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ExternalData_41" connectionId="808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432" connectionId="671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22" connectionId="1099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447" connectionId="758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441" connectionId="71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377" connectionId="688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71" connectionId="931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421" connectionId="62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397" connectionId="332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423" connectionId="63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50" connectionId="874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ExternalData_56" connectionId="94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414" connectionId="586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400" connectionId="378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444" connectionId="74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69" connectionId="82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409" connectionId="517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ExternalData_11" connectionId="112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394" connectionId="288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398" connectionId="34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45" connectionId="109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_44" connectionId="107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434" connectionId="67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376" connectionId="647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456" connectionId="802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424" connectionId="63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18" connectionId="856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ExternalData_41" connectionId="953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64" connectionId="105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389" connectionId="210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388" connectionId="194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54" connectionId="79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415" connectionId="589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374" connectionId="535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416" connectionId="59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57" connectionId="954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402" connectionId="408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70" connectionId="911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_52" connectionId="902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ExternalData_68" connectionId="108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ExternalData_62" connectionId="979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24" connectionId="81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403" connectionId="42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66" connectionId="106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428" connectionId="651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ExternalData_65" connectionId="1056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445" connectionId="752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453" connectionId="78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25" connectionId="640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90" connectionId="227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ExternalData_63" connectionId="98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ExternalData_47" connectionId="809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ExternalData_53" connectionId="916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435" connectionId="681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433" connectionId="67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49" connectionId="853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392" connectionId="26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ExternalData_8" connectionId="1060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450" connectionId="766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91" connectionId="244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373" connectionId="377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379" connectionId="77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11" connectionId="550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378" connectionId="730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ExternalData_61" connectionId="974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451" connectionId="772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440" connectionId="707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372" connectionId="226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408" connectionId="50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46" connectionId="755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ExternalData_51" connectionId="888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ExternalData_46" connectionId="1120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ExternalData_55" connectionId="94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437" connectionId="689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455" connectionId="797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01" connectionId="390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426" connectionId="643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ExternalData_60" connectionId="969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ExternalData_54" connectionId="930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72" connectionId="940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ExternalData_42" connectionId="1041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452" connectionId="776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418" connectionId="610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404" connectionId="439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410" connectionId="536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431" connectionId="66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ExternalData_58" connectionId="95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59" connectionId="964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438" connectionId="69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42" connectionId="734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439" connectionId="703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408" connectionId="50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124" connectionId="841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118" connectionId="821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ExternalData_65" connectionId="99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ExternalData_75" connectionId="101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122" connectionId="836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ExternalData_137" connectionId="899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133" connectionId="865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ExternalData_66" connectionId="99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ExternalData_81" connectionId="1031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72" connectionId="1011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ExternalData_139" connectionId="936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ExternalData_89" connectionId="1068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ExternalData_82" connectionId="1033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428" connectionId="65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418" connectionId="613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48" connectionId="833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95" connectionId="1092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76" connectionId="1020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ExternalData_46" connectionId="1123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404" connectionId="442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108" connectionId="1130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374" connectionId="551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79" connectionId="1027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442" connectionId="73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ExternalData_125" connectionId="843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ExternalData_91" connectionId="108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115" connectionId="810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ExternalData_126" connectionId="84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127" connectionId="847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110" connectionId="1134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ExternalData_86" connectionId="104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ExternalData_138" connectionId="912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103" connectionId="1114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130" connectionId="854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391" connectionId="248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ExternalData_109" connectionId="1132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438" connectionId="696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ExternalData_68" connectionId="100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ExternalData_74" connectionId="101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114" connectionId="1142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401" connectionId="394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67" connectionId="1000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78" connectionId="1024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409" connectionId="52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69" connectionId="1005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93" connectionId="1088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390" connectionId="230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411" connectionId="554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92" connectionId="1086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113" connectionId="1140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ExternalData_123" connectionId="839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128" connectionId="849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64" connectionId="992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94" connectionId="1090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ExternalData_83" connectionId="1035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84" connectionId="1037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49" connectionId="856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45" connectionId="1099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43" connectionId="1060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87" connectionId="1047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ExternalData_112" connectionId="1138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129" connectionId="85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100" connectionId="1108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105" connectionId="1118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ExternalData_131" connectionId="860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410" connectionId="539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77" connectionId="1022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119" connectionId="826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47" connectionId="812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90" connectionId="1073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98" connectionId="1103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397" connectionId="335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452" connectionId="779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ExternalData_136" connectionId="87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392" connectionId="266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132" connectionId="863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102" connectionId="111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ExternalData_96" connectionId="1094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135" connectionId="869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389" connectionId="213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134" connectionId="86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85" connectionId="1039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403" connectionId="423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372" connectionId="245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116" connectionId="816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88" connectionId="1058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41" connectionId="989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117" connectionId="819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121" connectionId="831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ExternalData_70" connectionId="1007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80" connectionId="102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120" connectionId="828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ExternalData_71" connectionId="1009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97" connectionId="1097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42" connectionId="1044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107" connectionId="1127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ExternalData_99" connectionId="1106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ExternalData_140" connectionId="94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104" connectionId="1116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106" connectionId="1121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101" connectionId="1110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373" connectionId="391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111" connectionId="1136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ExternalData_159" connectionId="915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ExternalData_143" connectionId="884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450" connectionId="770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ExternalData_56" connectionId="952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167" connectionId="937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148" connectionId="894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157" connectionId="913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60" connectionId="973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162" connectionId="923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156" connectionId="908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ExternalData_145" connectionId="886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59" connectionId="968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142" connectionId="883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61" connectionId="978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ExternalData_154" connectionId="901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ExternalData_165" connectionId="926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63" connectionId="988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158" connectionId="914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453" connectionId="792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166" connectionId="927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144" connectionId="885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455" connectionId="801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58" connectionId="963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163" connectionId="924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160" connectionId="917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62" connectionId="983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138" connectionId="875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147" connectionId="889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ExternalData_141" connectionId="882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ExternalData_140" connectionId="881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ExternalData_153" connectionId="900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149" connectionId="895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146" connectionId="887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139" connectionId="880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150" connectionId="896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137" connectionId="873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152" connectionId="898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168" connectionId="942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164" connectionId="925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151" connectionId="897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57" connectionId="958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ExternalData_55" connectionId="947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ExternalData_155" connectionId="903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161" connectionId="922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/>
  </autoFilter>
  <sortState ref="A2:BB519">
    <sortCondition ref="B1:B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43" totalsRowDxfId="31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151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50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9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8" totalsRowDxfId="27">
      <calculatedColumnFormula>Tabela3[[#This Row],[Capital Social]]*20%</calculatedColumnFormula>
    </tableColumn>
    <tableColumn id="36" name="Reserva Legal" dataDxfId="147" totalsRowDxfId="26">
      <calculatedColumnFormula>IF(([Lucro Líquido]*5%)&gt;[Teto R. Legal],[Teto R. Legal],[Lucro Líquido]*5%)</calculatedColumnFormula>
    </tableColumn>
    <tableColumn id="37" name="Lucro Distribuir" dataDxfId="146" totalsRowDxfId="25">
      <calculatedColumnFormula>IF([Lucro Líquido]&lt;0,0,[Lucro Líquido]-[Reserva Legal])</calculatedColumnFormula>
    </tableColumn>
    <tableColumn id="23" name="25 % Div" dataDxfId="145" totalsRowDxfId="24">
      <calculatedColumnFormula>Tabela3[[#This Row],[Lucro Distribuir]]*[%Div]</calculatedColumnFormula>
    </tableColumn>
    <tableColumn id="3" name="Total Ações" dataDxfId="144" totalsRowDxfId="23">
      <calculatedColumnFormula>SUMPRODUCT(N([Nome]=Tabela3[[#This Row],[Nome]]),[Ações])</calculatedColumnFormula>
    </tableColumn>
    <tableColumn id="44" name="VN" dataDxfId="143" totalsRowDxfId="22">
      <calculatedColumnFormula>[Capital Social]/[Total Ações]</calculatedColumnFormula>
    </tableColumn>
    <tableColumn id="19" name="Lucro/Ação" dataDxfId="142" totalsRowDxfId="21">
      <calculatedColumnFormula>Tabela3[[#This Row],[Lucro Líquido]]/Tabela3[[#This Row],[Total Ações]]</calculatedColumnFormula>
    </tableColumn>
    <tableColumn id="40" name="Div. Mínimo" dataDxfId="141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40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9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8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7" totalsRowDxfId="16">
      <calculatedColumnFormula>[Div Base]*[Ações]</calculatedColumnFormula>
    </tableColumn>
    <tableColumn id="22" name="Total" dataDxfId="136" totalsRowDxfId="15">
      <calculatedColumnFormula>SUMPRODUCT(N([Nome]=Tabela3[[#This Row],[Nome]]),[Div Base]*[Ações])</calculatedColumnFormula>
    </tableColumn>
    <tableColumn id="4" name="VPA" dataDxfId="135" totalsRowDxfId="14">
      <calculatedColumnFormula>[Patrimônio Líquido]/[Total Ações]</calculatedColumnFormula>
    </tableColumn>
    <tableColumn id="5" name="Cotação" dataDxfId="134" totalsRowDxfId="13">
      <calculatedColumnFormula>MAX(Tabela3[[#This Row],[Cotação 1]:[Cotação 5]])</calculatedColumnFormula>
    </tableColumn>
    <tableColumn id="6" name="PVPA" dataDxfId="133" totalsRowDxfId="12">
      <calculatedColumnFormula>[Cotação]/[VPA]</calculatedColumnFormula>
    </tableColumn>
    <tableColumn id="16" name="PL" dataDxfId="132">
      <calculatedColumnFormula>IF(Tabela3[[#This Row],[Lucro/Ação]]&gt;0,Tabela3[[#This Row],[Cotação]]/(Tabela3[[#This Row],[Lucro/Ação]]/[Ref]*4),0)</calculatedColumnFormula>
    </tableColumn>
    <tableColumn id="53" name="Lucro Dist./Ação" dataDxfId="131" totalsRowDxfId="11">
      <calculatedColumnFormula>[Lucro Distribuir]/[Total Ações]</calculatedColumnFormula>
    </tableColumn>
    <tableColumn id="52" name="Lucro" dataDxfId="130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44" totalsRowDxfId="9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9" totalsRowDxfId="8">
      <calculatedColumnFormula>IF([Cotação]&gt;0,Tabela3[[#This Row],[Lucro]]/Tabela3[[#This Row],[Cotação]],0)</calculatedColumnFormula>
    </tableColumn>
    <tableColumn id="12" name="% A.A." dataDxfId="128" totalsRowDxfId="7">
      <calculatedColumnFormula>((1+Tabela3[[#This Row],[% Yield]])^(1/(3*Tabela3[[#This Row],[Ref]])))^(12)-1</calculatedColumnFormula>
    </tableColumn>
    <tableColumn id="17" name="Ativos" dataDxfId="127" totalsRowDxfId="6">
      <calculatedColumnFormula>IF([Cotação]&gt;0,($BH$1/Tabela3[[#This Row],[Cotação]]-MOD($BH$1/Tabela3[[#This Row],[Cotação]],100)),)</calculatedColumnFormula>
    </tableColumn>
    <tableColumn id="18" name="Lucro Med A.A" dataDxfId="126" totalsRowDxfId="5">
      <calculatedColumnFormula>Tabela3[[#This Row],[Ativos]]*[Lucro]</calculatedColumnFormula>
    </tableColumn>
    <tableColumn id="15" name="Cotação 1" dataDxfId="125" totalsRowDxfId="4">
      <calculatedColumnFormula>SUMPRODUCT(N(Tabela1[Código]=Tabela3[[#This Row],[PAPEL]]),Tabela1[Fechamento])</calculatedColumnFormula>
    </tableColumn>
    <tableColumn id="20" name="Cotação 2" dataDxfId="124" totalsRowDxfId="3">
      <calculatedColumnFormula>SUMPRODUCT(N(Tabela17[Código]=Tabela3[[#This Row],[PAPEL]]),Tabela17[Fechamento])</calculatedColumnFormula>
    </tableColumn>
    <tableColumn id="11" name="Cotação 3" dataDxfId="123" totalsRowDxfId="2">
      <calculatedColumnFormula>SUMPRODUCT(N(Tabela176[Código]=Tabela3[[#This Row],[PAPEL]]),Tabela176[Fechamento])</calculatedColumnFormula>
    </tableColumn>
    <tableColumn id="21" name="Cotação 4" dataDxfId="122" totalsRowDxfId="1">
      <calculatedColumnFormula>SUMPRODUCT(N(Tabela1768[Código]=Tabela3[[#This Row],[PAPEL]]),Tabela1768[Fechamento])</calculatedColumnFormula>
    </tableColumn>
    <tableColumn id="26" name="Cotação 5" dataDxfId="121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20" dataDxfId="119">
  <autoFilter ref="P6:V112"/>
  <sortState ref="P7:V112">
    <sortCondition ref="P6:P112"/>
  </sortState>
  <tableColumns count="7">
    <tableColumn id="1" name="Código" dataDxfId="118"/>
    <tableColumn id="2" name="Ativo" dataDxfId="117">
      <calculatedColumnFormula>IF(A7="","",C7)</calculatedColumnFormula>
    </tableColumn>
    <tableColumn id="3" name="Data" dataDxfId="116">
      <calculatedColumnFormula>IF(A7="","",H7)</calculatedColumnFormula>
    </tableColumn>
    <tableColumn id="4" name="Abertura" dataDxfId="115">
      <calculatedColumnFormula>J7</calculatedColumnFormula>
    </tableColumn>
    <tableColumn id="5" name="Fechamento" dataDxfId="114">
      <calculatedColumnFormula>K7</calculatedColumnFormula>
    </tableColumn>
    <tableColumn id="6" name="Máxima" dataDxfId="113">
      <calculatedColumnFormula>L7</calculatedColumnFormula>
    </tableColumn>
    <tableColumn id="7" name="Mínima" dataDxfId="112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11" dataDxfId="110">
  <autoFilter ref="P6:V112"/>
  <sortState ref="P7:V112">
    <sortCondition ref="P6:P112"/>
  </sortState>
  <tableColumns count="7">
    <tableColumn id="1" name="Código" dataDxfId="109"/>
    <tableColumn id="2" name="Ativo" dataDxfId="108">
      <calculatedColumnFormula>IF(A7="","",C7)</calculatedColumnFormula>
    </tableColumn>
    <tableColumn id="3" name="Data" dataDxfId="107">
      <calculatedColumnFormula>IF(A7="","",H7)</calculatedColumnFormula>
    </tableColumn>
    <tableColumn id="4" name="Abertura" dataDxfId="106">
      <calculatedColumnFormula>J7</calculatedColumnFormula>
    </tableColumn>
    <tableColumn id="5" name="Fechamento" dataDxfId="105">
      <calculatedColumnFormula>K7</calculatedColumnFormula>
    </tableColumn>
    <tableColumn id="6" name="Máxima" dataDxfId="104">
      <calculatedColumnFormula>L7</calculatedColumnFormula>
    </tableColumn>
    <tableColumn id="7" name="Mínima" dataDxfId="103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2" dataDxfId="101">
  <autoFilter ref="P6:V112"/>
  <sortState ref="P7:V112">
    <sortCondition ref="P6:P112"/>
  </sortState>
  <tableColumns count="7">
    <tableColumn id="1" name="Código" dataDxfId="100"/>
    <tableColumn id="2" name="Ativo" dataDxfId="99">
      <calculatedColumnFormula>IF(A7="","",C7)</calculatedColumnFormula>
    </tableColumn>
    <tableColumn id="3" name="Data" dataDxfId="98">
      <calculatedColumnFormula>IF(A7="","",H7)</calculatedColumnFormula>
    </tableColumn>
    <tableColumn id="4" name="Abertura" dataDxfId="97">
      <calculatedColumnFormula>J7</calculatedColumnFormula>
    </tableColumn>
    <tableColumn id="5" name="Fechamento" dataDxfId="96">
      <calculatedColumnFormula>K7</calculatedColumnFormula>
    </tableColumn>
    <tableColumn id="6" name="Máxima" dataDxfId="95">
      <calculatedColumnFormula>L7</calculatedColumnFormula>
    </tableColumn>
    <tableColumn id="7" name="Mínima" dataDxfId="94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3" dataDxfId="92">
  <autoFilter ref="P6:V112"/>
  <sortState ref="P7:V112">
    <sortCondition ref="P6:P112"/>
  </sortState>
  <tableColumns count="7">
    <tableColumn id="1" name="Código" dataDxfId="91"/>
    <tableColumn id="2" name="Ativo" dataDxfId="90">
      <calculatedColumnFormula>IF(A7="","",C7)</calculatedColumnFormula>
    </tableColumn>
    <tableColumn id="3" name="Data" dataDxfId="89">
      <calculatedColumnFormula>IF(A7="","",H7)</calculatedColumnFormula>
    </tableColumn>
    <tableColumn id="4" name="Abertura" dataDxfId="88">
      <calculatedColumnFormula>J7</calculatedColumnFormula>
    </tableColumn>
    <tableColumn id="5" name="Fechamento" dataDxfId="87">
      <calculatedColumnFormula>K7</calculatedColumnFormula>
    </tableColumn>
    <tableColumn id="6" name="Máxima" dataDxfId="86">
      <calculatedColumnFormula>L7</calculatedColumnFormula>
    </tableColumn>
    <tableColumn id="7" name="Mínima" dataDxfId="85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4" dataDxfId="83">
  <autoFilter ref="P6:V112"/>
  <sortState ref="P7:V112">
    <sortCondition ref="P6:P112"/>
  </sortState>
  <tableColumns count="7">
    <tableColumn id="1" name="Código" dataDxfId="82"/>
    <tableColumn id="2" name="Ativo" dataDxfId="81">
      <calculatedColumnFormula>IF(A7="","",C7)</calculatedColumnFormula>
    </tableColumn>
    <tableColumn id="3" name="Data" dataDxfId="80">
      <calculatedColumnFormula>IF(A7="","",H7)</calculatedColumnFormula>
    </tableColumn>
    <tableColumn id="4" name="Abertura" dataDxfId="79">
      <calculatedColumnFormula>J7</calculatedColumnFormula>
    </tableColumn>
    <tableColumn id="5" name="Fechamento" dataDxfId="78">
      <calculatedColumnFormula>K7</calculatedColumnFormula>
    </tableColumn>
    <tableColumn id="6" name="Máxima" dataDxfId="77">
      <calculatedColumnFormula>L7</calculatedColumnFormula>
    </tableColumn>
    <tableColumn id="7" name="Mínima" dataDxfId="76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5" dataDxfId="74" totalsRowDxfId="73">
  <autoFilter ref="A1:N3"/>
  <tableColumns count="14">
    <tableColumn id="1" name="Data Liquidação" totalsRowLabel="Total" dataDxfId="72" totalsRowDxfId="71"/>
    <tableColumn id="16" name="Dia" dataDxfId="70" totalsRowDxfId="69">
      <calculatedColumnFormula>DAY([Data Liquidação])</calculatedColumnFormula>
    </tableColumn>
    <tableColumn id="15" name="Mês" dataDxfId="68" totalsRowDxfId="67">
      <calculatedColumnFormula>MONTH([Data Liquidação])</calculatedColumnFormula>
    </tableColumn>
    <tableColumn id="14" name="Ano" dataDxfId="66" totalsRowDxfId="65">
      <calculatedColumnFormula>YEAR([Data Liquidação])</calculatedColumnFormula>
    </tableColumn>
    <tableColumn id="7" name="Nome" dataDxfId="64" totalsRowDxfId="63"/>
    <tableColumn id="2" name="Aplicação" totalsRowFunction="sum" dataDxfId="62" totalsRowDxfId="61"/>
    <tableColumn id="3" name="Taxas" totalsRowFunction="min" dataDxfId="60" totalsRowDxfId="59"/>
    <tableColumn id="4" name="Resgates" totalsRowFunction="sum" dataDxfId="58" totalsRowDxfId="57"/>
    <tableColumn id="5" name="Dividendo" totalsRowFunction="sum" dataDxfId="56" totalsRowDxfId="55"/>
    <tableColumn id="18" name="JPC" totalsRowFunction="sum" dataDxfId="54" totalsRowDxfId="53"/>
    <tableColumn id="8" name="Quantidade" dataDxfId="52" totalsRowDxfId="51"/>
    <tableColumn id="9" name="Preço Médio" dataDxfId="50" totalsRowDxfId="49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8" totalsRowDxfId="47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6" totalsRowDxfId="45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printerSettings" Target="../printerSettings/printerSettings1.bin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table" Target="../tables/table1.xml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6.xml"/><Relationship Id="rId299" Type="http://schemas.openxmlformats.org/officeDocument/2006/relationships/queryTable" Target="../queryTables/queryTable548.xml"/><Relationship Id="rId303" Type="http://schemas.openxmlformats.org/officeDocument/2006/relationships/queryTable" Target="../queryTables/queryTable552.xml"/><Relationship Id="rId21" Type="http://schemas.openxmlformats.org/officeDocument/2006/relationships/queryTable" Target="../queryTables/queryTable270.xml"/><Relationship Id="rId42" Type="http://schemas.openxmlformats.org/officeDocument/2006/relationships/queryTable" Target="../queryTables/queryTable291.xml"/><Relationship Id="rId63" Type="http://schemas.openxmlformats.org/officeDocument/2006/relationships/queryTable" Target="../queryTables/queryTable312.xml"/><Relationship Id="rId84" Type="http://schemas.openxmlformats.org/officeDocument/2006/relationships/queryTable" Target="../queryTables/queryTable333.xml"/><Relationship Id="rId138" Type="http://schemas.openxmlformats.org/officeDocument/2006/relationships/queryTable" Target="../queryTables/queryTable387.xml"/><Relationship Id="rId159" Type="http://schemas.openxmlformats.org/officeDocument/2006/relationships/queryTable" Target="../queryTables/queryTable408.xml"/><Relationship Id="rId324" Type="http://schemas.openxmlformats.org/officeDocument/2006/relationships/queryTable" Target="../queryTables/queryTable573.xml"/><Relationship Id="rId345" Type="http://schemas.openxmlformats.org/officeDocument/2006/relationships/queryTable" Target="../queryTables/queryTable594.xml"/><Relationship Id="rId170" Type="http://schemas.openxmlformats.org/officeDocument/2006/relationships/queryTable" Target="../queryTables/queryTable419.xml"/><Relationship Id="rId191" Type="http://schemas.openxmlformats.org/officeDocument/2006/relationships/queryTable" Target="../queryTables/queryTable440.xml"/><Relationship Id="rId205" Type="http://schemas.openxmlformats.org/officeDocument/2006/relationships/queryTable" Target="../queryTables/queryTable454.xml"/><Relationship Id="rId226" Type="http://schemas.openxmlformats.org/officeDocument/2006/relationships/queryTable" Target="../queryTables/queryTable475.xml"/><Relationship Id="rId247" Type="http://schemas.openxmlformats.org/officeDocument/2006/relationships/queryTable" Target="../queryTables/queryTable496.xml"/><Relationship Id="rId107" Type="http://schemas.openxmlformats.org/officeDocument/2006/relationships/queryTable" Target="../queryTables/queryTable356.xml"/><Relationship Id="rId268" Type="http://schemas.openxmlformats.org/officeDocument/2006/relationships/queryTable" Target="../queryTables/queryTable517.xml"/><Relationship Id="rId289" Type="http://schemas.openxmlformats.org/officeDocument/2006/relationships/queryTable" Target="../queryTables/queryTable538.xml"/><Relationship Id="rId11" Type="http://schemas.openxmlformats.org/officeDocument/2006/relationships/queryTable" Target="../queryTables/queryTable260.xml"/><Relationship Id="rId32" Type="http://schemas.openxmlformats.org/officeDocument/2006/relationships/queryTable" Target="../queryTables/queryTable281.xml"/><Relationship Id="rId53" Type="http://schemas.openxmlformats.org/officeDocument/2006/relationships/queryTable" Target="../queryTables/queryTable302.xml"/><Relationship Id="rId74" Type="http://schemas.openxmlformats.org/officeDocument/2006/relationships/queryTable" Target="../queryTables/queryTable323.xml"/><Relationship Id="rId128" Type="http://schemas.openxmlformats.org/officeDocument/2006/relationships/queryTable" Target="../queryTables/queryTable377.xml"/><Relationship Id="rId149" Type="http://schemas.openxmlformats.org/officeDocument/2006/relationships/queryTable" Target="../queryTables/queryTable398.xml"/><Relationship Id="rId314" Type="http://schemas.openxmlformats.org/officeDocument/2006/relationships/queryTable" Target="../queryTables/queryTable563.xml"/><Relationship Id="rId335" Type="http://schemas.openxmlformats.org/officeDocument/2006/relationships/queryTable" Target="../queryTables/queryTable584.xml"/><Relationship Id="rId356" Type="http://schemas.openxmlformats.org/officeDocument/2006/relationships/queryTable" Target="../queryTables/queryTable605.xml"/><Relationship Id="rId5" Type="http://schemas.openxmlformats.org/officeDocument/2006/relationships/queryTable" Target="../queryTables/queryTable254.xml"/><Relationship Id="rId95" Type="http://schemas.openxmlformats.org/officeDocument/2006/relationships/queryTable" Target="../queryTables/queryTable344.xml"/><Relationship Id="rId160" Type="http://schemas.openxmlformats.org/officeDocument/2006/relationships/queryTable" Target="../queryTables/queryTable409.xml"/><Relationship Id="rId181" Type="http://schemas.openxmlformats.org/officeDocument/2006/relationships/queryTable" Target="../queryTables/queryTable430.xml"/><Relationship Id="rId216" Type="http://schemas.openxmlformats.org/officeDocument/2006/relationships/queryTable" Target="../queryTables/queryTable465.xml"/><Relationship Id="rId237" Type="http://schemas.openxmlformats.org/officeDocument/2006/relationships/queryTable" Target="../queryTables/queryTable486.xml"/><Relationship Id="rId258" Type="http://schemas.openxmlformats.org/officeDocument/2006/relationships/queryTable" Target="../queryTables/queryTable507.xml"/><Relationship Id="rId279" Type="http://schemas.openxmlformats.org/officeDocument/2006/relationships/queryTable" Target="../queryTables/queryTable528.xml"/><Relationship Id="rId22" Type="http://schemas.openxmlformats.org/officeDocument/2006/relationships/queryTable" Target="../queryTables/queryTable271.xml"/><Relationship Id="rId43" Type="http://schemas.openxmlformats.org/officeDocument/2006/relationships/queryTable" Target="../queryTables/queryTable292.xml"/><Relationship Id="rId64" Type="http://schemas.openxmlformats.org/officeDocument/2006/relationships/queryTable" Target="../queryTables/queryTable313.xml"/><Relationship Id="rId118" Type="http://schemas.openxmlformats.org/officeDocument/2006/relationships/queryTable" Target="../queryTables/queryTable367.xml"/><Relationship Id="rId139" Type="http://schemas.openxmlformats.org/officeDocument/2006/relationships/queryTable" Target="../queryTables/queryTable388.xml"/><Relationship Id="rId290" Type="http://schemas.openxmlformats.org/officeDocument/2006/relationships/queryTable" Target="../queryTables/queryTable539.xml"/><Relationship Id="rId304" Type="http://schemas.openxmlformats.org/officeDocument/2006/relationships/queryTable" Target="../queryTables/queryTable553.xml"/><Relationship Id="rId325" Type="http://schemas.openxmlformats.org/officeDocument/2006/relationships/queryTable" Target="../queryTables/queryTable574.xml"/><Relationship Id="rId346" Type="http://schemas.openxmlformats.org/officeDocument/2006/relationships/queryTable" Target="../queryTables/queryTable595.xml"/><Relationship Id="rId85" Type="http://schemas.openxmlformats.org/officeDocument/2006/relationships/queryTable" Target="../queryTables/queryTable334.xml"/><Relationship Id="rId150" Type="http://schemas.openxmlformats.org/officeDocument/2006/relationships/queryTable" Target="../queryTables/queryTable399.xml"/><Relationship Id="rId171" Type="http://schemas.openxmlformats.org/officeDocument/2006/relationships/queryTable" Target="../queryTables/queryTable420.xml"/><Relationship Id="rId192" Type="http://schemas.openxmlformats.org/officeDocument/2006/relationships/queryTable" Target="../queryTables/queryTable441.xml"/><Relationship Id="rId206" Type="http://schemas.openxmlformats.org/officeDocument/2006/relationships/queryTable" Target="../queryTables/queryTable455.xml"/><Relationship Id="rId227" Type="http://schemas.openxmlformats.org/officeDocument/2006/relationships/queryTable" Target="../queryTables/queryTable476.xml"/><Relationship Id="rId248" Type="http://schemas.openxmlformats.org/officeDocument/2006/relationships/queryTable" Target="../queryTables/queryTable497.xml"/><Relationship Id="rId269" Type="http://schemas.openxmlformats.org/officeDocument/2006/relationships/queryTable" Target="../queryTables/queryTable518.xml"/><Relationship Id="rId12" Type="http://schemas.openxmlformats.org/officeDocument/2006/relationships/queryTable" Target="../queryTables/queryTable261.xml"/><Relationship Id="rId33" Type="http://schemas.openxmlformats.org/officeDocument/2006/relationships/queryTable" Target="../queryTables/queryTable282.xml"/><Relationship Id="rId108" Type="http://schemas.openxmlformats.org/officeDocument/2006/relationships/queryTable" Target="../queryTables/queryTable357.xml"/><Relationship Id="rId129" Type="http://schemas.openxmlformats.org/officeDocument/2006/relationships/queryTable" Target="../queryTables/queryTable378.xml"/><Relationship Id="rId280" Type="http://schemas.openxmlformats.org/officeDocument/2006/relationships/queryTable" Target="../queryTables/queryTable529.xml"/><Relationship Id="rId315" Type="http://schemas.openxmlformats.org/officeDocument/2006/relationships/queryTable" Target="../queryTables/queryTable564.xml"/><Relationship Id="rId336" Type="http://schemas.openxmlformats.org/officeDocument/2006/relationships/queryTable" Target="../queryTables/queryTable585.xml"/><Relationship Id="rId357" Type="http://schemas.openxmlformats.org/officeDocument/2006/relationships/queryTable" Target="../queryTables/queryTable606.xml"/><Relationship Id="rId54" Type="http://schemas.openxmlformats.org/officeDocument/2006/relationships/queryTable" Target="../queryTables/queryTable303.xml"/><Relationship Id="rId75" Type="http://schemas.openxmlformats.org/officeDocument/2006/relationships/queryTable" Target="../queryTables/queryTable324.xml"/><Relationship Id="rId96" Type="http://schemas.openxmlformats.org/officeDocument/2006/relationships/queryTable" Target="../queryTables/queryTable345.xml"/><Relationship Id="rId140" Type="http://schemas.openxmlformats.org/officeDocument/2006/relationships/queryTable" Target="../queryTables/queryTable389.xml"/><Relationship Id="rId161" Type="http://schemas.openxmlformats.org/officeDocument/2006/relationships/queryTable" Target="../queryTables/queryTable410.xml"/><Relationship Id="rId182" Type="http://schemas.openxmlformats.org/officeDocument/2006/relationships/queryTable" Target="../queryTables/queryTable431.xml"/><Relationship Id="rId217" Type="http://schemas.openxmlformats.org/officeDocument/2006/relationships/queryTable" Target="../queryTables/queryTable466.xml"/><Relationship Id="rId6" Type="http://schemas.openxmlformats.org/officeDocument/2006/relationships/queryTable" Target="../queryTables/queryTable255.xml"/><Relationship Id="rId238" Type="http://schemas.openxmlformats.org/officeDocument/2006/relationships/queryTable" Target="../queryTables/queryTable487.xml"/><Relationship Id="rId259" Type="http://schemas.openxmlformats.org/officeDocument/2006/relationships/queryTable" Target="../queryTables/queryTable508.xml"/><Relationship Id="rId23" Type="http://schemas.openxmlformats.org/officeDocument/2006/relationships/queryTable" Target="../queryTables/queryTable272.xml"/><Relationship Id="rId119" Type="http://schemas.openxmlformats.org/officeDocument/2006/relationships/queryTable" Target="../queryTables/queryTable368.xml"/><Relationship Id="rId270" Type="http://schemas.openxmlformats.org/officeDocument/2006/relationships/queryTable" Target="../queryTables/queryTable519.xml"/><Relationship Id="rId291" Type="http://schemas.openxmlformats.org/officeDocument/2006/relationships/queryTable" Target="../queryTables/queryTable540.xml"/><Relationship Id="rId305" Type="http://schemas.openxmlformats.org/officeDocument/2006/relationships/queryTable" Target="../queryTables/queryTable554.xml"/><Relationship Id="rId326" Type="http://schemas.openxmlformats.org/officeDocument/2006/relationships/queryTable" Target="../queryTables/queryTable575.xml"/><Relationship Id="rId347" Type="http://schemas.openxmlformats.org/officeDocument/2006/relationships/queryTable" Target="../queryTables/queryTable596.xml"/><Relationship Id="rId44" Type="http://schemas.openxmlformats.org/officeDocument/2006/relationships/queryTable" Target="../queryTables/queryTable293.xml"/><Relationship Id="rId65" Type="http://schemas.openxmlformats.org/officeDocument/2006/relationships/queryTable" Target="../queryTables/queryTable314.xml"/><Relationship Id="rId86" Type="http://schemas.openxmlformats.org/officeDocument/2006/relationships/queryTable" Target="../queryTables/queryTable335.xml"/><Relationship Id="rId130" Type="http://schemas.openxmlformats.org/officeDocument/2006/relationships/queryTable" Target="../queryTables/queryTable379.xml"/><Relationship Id="rId151" Type="http://schemas.openxmlformats.org/officeDocument/2006/relationships/queryTable" Target="../queryTables/queryTable400.xml"/><Relationship Id="rId172" Type="http://schemas.openxmlformats.org/officeDocument/2006/relationships/queryTable" Target="../queryTables/queryTable421.xml"/><Relationship Id="rId193" Type="http://schemas.openxmlformats.org/officeDocument/2006/relationships/queryTable" Target="../queryTables/queryTable442.xml"/><Relationship Id="rId207" Type="http://schemas.openxmlformats.org/officeDocument/2006/relationships/queryTable" Target="../queryTables/queryTable456.xml"/><Relationship Id="rId228" Type="http://schemas.openxmlformats.org/officeDocument/2006/relationships/queryTable" Target="../queryTables/queryTable477.xml"/><Relationship Id="rId249" Type="http://schemas.openxmlformats.org/officeDocument/2006/relationships/queryTable" Target="../queryTables/queryTable498.xml"/><Relationship Id="rId13" Type="http://schemas.openxmlformats.org/officeDocument/2006/relationships/queryTable" Target="../queryTables/queryTable262.xml"/><Relationship Id="rId109" Type="http://schemas.openxmlformats.org/officeDocument/2006/relationships/queryTable" Target="../queryTables/queryTable358.xml"/><Relationship Id="rId260" Type="http://schemas.openxmlformats.org/officeDocument/2006/relationships/queryTable" Target="../queryTables/queryTable509.xml"/><Relationship Id="rId281" Type="http://schemas.openxmlformats.org/officeDocument/2006/relationships/queryTable" Target="../queryTables/queryTable530.xml"/><Relationship Id="rId316" Type="http://schemas.openxmlformats.org/officeDocument/2006/relationships/queryTable" Target="../queryTables/queryTable565.xml"/><Relationship Id="rId337" Type="http://schemas.openxmlformats.org/officeDocument/2006/relationships/queryTable" Target="../queryTables/queryTable586.xml"/><Relationship Id="rId34" Type="http://schemas.openxmlformats.org/officeDocument/2006/relationships/queryTable" Target="../queryTables/queryTable283.xml"/><Relationship Id="rId55" Type="http://schemas.openxmlformats.org/officeDocument/2006/relationships/queryTable" Target="../queryTables/queryTable304.xml"/><Relationship Id="rId76" Type="http://schemas.openxmlformats.org/officeDocument/2006/relationships/queryTable" Target="../queryTables/queryTable325.xml"/><Relationship Id="rId97" Type="http://schemas.openxmlformats.org/officeDocument/2006/relationships/queryTable" Target="../queryTables/queryTable346.xml"/><Relationship Id="rId120" Type="http://schemas.openxmlformats.org/officeDocument/2006/relationships/queryTable" Target="../queryTables/queryTable369.xml"/><Relationship Id="rId141" Type="http://schemas.openxmlformats.org/officeDocument/2006/relationships/queryTable" Target="../queryTables/queryTable390.xml"/><Relationship Id="rId358" Type="http://schemas.openxmlformats.org/officeDocument/2006/relationships/queryTable" Target="../queryTables/queryTable607.xml"/><Relationship Id="rId7" Type="http://schemas.openxmlformats.org/officeDocument/2006/relationships/queryTable" Target="../queryTables/queryTable256.xml"/><Relationship Id="rId162" Type="http://schemas.openxmlformats.org/officeDocument/2006/relationships/queryTable" Target="../queryTables/queryTable411.xml"/><Relationship Id="rId183" Type="http://schemas.openxmlformats.org/officeDocument/2006/relationships/queryTable" Target="../queryTables/queryTable432.xml"/><Relationship Id="rId218" Type="http://schemas.openxmlformats.org/officeDocument/2006/relationships/queryTable" Target="../queryTables/queryTable467.xml"/><Relationship Id="rId239" Type="http://schemas.openxmlformats.org/officeDocument/2006/relationships/queryTable" Target="../queryTables/queryTable488.xml"/><Relationship Id="rId250" Type="http://schemas.openxmlformats.org/officeDocument/2006/relationships/queryTable" Target="../queryTables/queryTable499.xml"/><Relationship Id="rId271" Type="http://schemas.openxmlformats.org/officeDocument/2006/relationships/queryTable" Target="../queryTables/queryTable520.xml"/><Relationship Id="rId292" Type="http://schemas.openxmlformats.org/officeDocument/2006/relationships/queryTable" Target="../queryTables/queryTable541.xml"/><Relationship Id="rId306" Type="http://schemas.openxmlformats.org/officeDocument/2006/relationships/queryTable" Target="../queryTables/queryTable555.xml"/><Relationship Id="rId24" Type="http://schemas.openxmlformats.org/officeDocument/2006/relationships/queryTable" Target="../queryTables/queryTable273.xml"/><Relationship Id="rId45" Type="http://schemas.openxmlformats.org/officeDocument/2006/relationships/queryTable" Target="../queryTables/queryTable294.xml"/><Relationship Id="rId66" Type="http://schemas.openxmlformats.org/officeDocument/2006/relationships/queryTable" Target="../queryTables/queryTable315.xml"/><Relationship Id="rId87" Type="http://schemas.openxmlformats.org/officeDocument/2006/relationships/queryTable" Target="../queryTables/queryTable336.xml"/><Relationship Id="rId110" Type="http://schemas.openxmlformats.org/officeDocument/2006/relationships/queryTable" Target="../queryTables/queryTable359.xml"/><Relationship Id="rId131" Type="http://schemas.openxmlformats.org/officeDocument/2006/relationships/queryTable" Target="../queryTables/queryTable380.xml"/><Relationship Id="rId327" Type="http://schemas.openxmlformats.org/officeDocument/2006/relationships/queryTable" Target="../queryTables/queryTable576.xml"/><Relationship Id="rId348" Type="http://schemas.openxmlformats.org/officeDocument/2006/relationships/queryTable" Target="../queryTables/queryTable597.xml"/><Relationship Id="rId152" Type="http://schemas.openxmlformats.org/officeDocument/2006/relationships/queryTable" Target="../queryTables/queryTable401.xml"/><Relationship Id="rId173" Type="http://schemas.openxmlformats.org/officeDocument/2006/relationships/queryTable" Target="../queryTables/queryTable422.xml"/><Relationship Id="rId194" Type="http://schemas.openxmlformats.org/officeDocument/2006/relationships/queryTable" Target="../queryTables/queryTable443.xml"/><Relationship Id="rId208" Type="http://schemas.openxmlformats.org/officeDocument/2006/relationships/queryTable" Target="../queryTables/queryTable457.xml"/><Relationship Id="rId229" Type="http://schemas.openxmlformats.org/officeDocument/2006/relationships/queryTable" Target="../queryTables/queryTable478.xml"/><Relationship Id="rId240" Type="http://schemas.openxmlformats.org/officeDocument/2006/relationships/queryTable" Target="../queryTables/queryTable489.xml"/><Relationship Id="rId261" Type="http://schemas.openxmlformats.org/officeDocument/2006/relationships/queryTable" Target="../queryTables/queryTable510.xml"/><Relationship Id="rId14" Type="http://schemas.openxmlformats.org/officeDocument/2006/relationships/queryTable" Target="../queryTables/queryTable263.xml"/><Relationship Id="rId35" Type="http://schemas.openxmlformats.org/officeDocument/2006/relationships/queryTable" Target="../queryTables/queryTable284.xml"/><Relationship Id="rId56" Type="http://schemas.openxmlformats.org/officeDocument/2006/relationships/queryTable" Target="../queryTables/queryTable305.xml"/><Relationship Id="rId77" Type="http://schemas.openxmlformats.org/officeDocument/2006/relationships/queryTable" Target="../queryTables/queryTable326.xml"/><Relationship Id="rId100" Type="http://schemas.openxmlformats.org/officeDocument/2006/relationships/queryTable" Target="../queryTables/queryTable349.xml"/><Relationship Id="rId282" Type="http://schemas.openxmlformats.org/officeDocument/2006/relationships/queryTable" Target="../queryTables/queryTable531.xml"/><Relationship Id="rId317" Type="http://schemas.openxmlformats.org/officeDocument/2006/relationships/queryTable" Target="../queryTables/queryTable566.xml"/><Relationship Id="rId338" Type="http://schemas.openxmlformats.org/officeDocument/2006/relationships/queryTable" Target="../queryTables/queryTable587.xml"/><Relationship Id="rId359" Type="http://schemas.openxmlformats.org/officeDocument/2006/relationships/queryTable" Target="../queryTables/queryTable608.xml"/><Relationship Id="rId8" Type="http://schemas.openxmlformats.org/officeDocument/2006/relationships/queryTable" Target="../queryTables/queryTable257.xml"/><Relationship Id="rId98" Type="http://schemas.openxmlformats.org/officeDocument/2006/relationships/queryTable" Target="../queryTables/queryTable347.xml"/><Relationship Id="rId121" Type="http://schemas.openxmlformats.org/officeDocument/2006/relationships/queryTable" Target="../queryTables/queryTable370.xml"/><Relationship Id="rId142" Type="http://schemas.openxmlformats.org/officeDocument/2006/relationships/queryTable" Target="../queryTables/queryTable391.xml"/><Relationship Id="rId163" Type="http://schemas.openxmlformats.org/officeDocument/2006/relationships/queryTable" Target="../queryTables/queryTable412.xml"/><Relationship Id="rId184" Type="http://schemas.openxmlformats.org/officeDocument/2006/relationships/queryTable" Target="../queryTables/queryTable433.xml"/><Relationship Id="rId219" Type="http://schemas.openxmlformats.org/officeDocument/2006/relationships/queryTable" Target="../queryTables/queryTable468.xml"/><Relationship Id="rId230" Type="http://schemas.openxmlformats.org/officeDocument/2006/relationships/queryTable" Target="../queryTables/queryTable479.xml"/><Relationship Id="rId251" Type="http://schemas.openxmlformats.org/officeDocument/2006/relationships/queryTable" Target="../queryTables/queryTable500.xml"/><Relationship Id="rId25" Type="http://schemas.openxmlformats.org/officeDocument/2006/relationships/queryTable" Target="../queryTables/queryTable274.xml"/><Relationship Id="rId46" Type="http://schemas.openxmlformats.org/officeDocument/2006/relationships/queryTable" Target="../queryTables/queryTable295.xml"/><Relationship Id="rId67" Type="http://schemas.openxmlformats.org/officeDocument/2006/relationships/queryTable" Target="../queryTables/queryTable316.xml"/><Relationship Id="rId272" Type="http://schemas.openxmlformats.org/officeDocument/2006/relationships/queryTable" Target="../queryTables/queryTable521.xml"/><Relationship Id="rId293" Type="http://schemas.openxmlformats.org/officeDocument/2006/relationships/queryTable" Target="../queryTables/queryTable542.xml"/><Relationship Id="rId307" Type="http://schemas.openxmlformats.org/officeDocument/2006/relationships/queryTable" Target="../queryTables/queryTable556.xml"/><Relationship Id="rId328" Type="http://schemas.openxmlformats.org/officeDocument/2006/relationships/queryTable" Target="../queryTables/queryTable577.xml"/><Relationship Id="rId349" Type="http://schemas.openxmlformats.org/officeDocument/2006/relationships/queryTable" Target="../queryTables/queryTable598.xml"/><Relationship Id="rId88" Type="http://schemas.openxmlformats.org/officeDocument/2006/relationships/queryTable" Target="../queryTables/queryTable337.xml"/><Relationship Id="rId111" Type="http://schemas.openxmlformats.org/officeDocument/2006/relationships/queryTable" Target="../queryTables/queryTable360.xml"/><Relationship Id="rId132" Type="http://schemas.openxmlformats.org/officeDocument/2006/relationships/queryTable" Target="../queryTables/queryTable381.xml"/><Relationship Id="rId153" Type="http://schemas.openxmlformats.org/officeDocument/2006/relationships/queryTable" Target="../queryTables/queryTable402.xml"/><Relationship Id="rId174" Type="http://schemas.openxmlformats.org/officeDocument/2006/relationships/queryTable" Target="../queryTables/queryTable423.xml"/><Relationship Id="rId195" Type="http://schemas.openxmlformats.org/officeDocument/2006/relationships/queryTable" Target="../queryTables/queryTable444.xml"/><Relationship Id="rId209" Type="http://schemas.openxmlformats.org/officeDocument/2006/relationships/queryTable" Target="../queryTables/queryTable458.xml"/><Relationship Id="rId190" Type="http://schemas.openxmlformats.org/officeDocument/2006/relationships/queryTable" Target="../queryTables/queryTable439.xml"/><Relationship Id="rId204" Type="http://schemas.openxmlformats.org/officeDocument/2006/relationships/queryTable" Target="../queryTables/queryTable453.xml"/><Relationship Id="rId220" Type="http://schemas.openxmlformats.org/officeDocument/2006/relationships/queryTable" Target="../queryTables/queryTable469.xml"/><Relationship Id="rId225" Type="http://schemas.openxmlformats.org/officeDocument/2006/relationships/queryTable" Target="../queryTables/queryTable474.xml"/><Relationship Id="rId241" Type="http://schemas.openxmlformats.org/officeDocument/2006/relationships/queryTable" Target="../queryTables/queryTable490.xml"/><Relationship Id="rId246" Type="http://schemas.openxmlformats.org/officeDocument/2006/relationships/queryTable" Target="../queryTables/queryTable495.xml"/><Relationship Id="rId267" Type="http://schemas.openxmlformats.org/officeDocument/2006/relationships/queryTable" Target="../queryTables/queryTable516.xml"/><Relationship Id="rId288" Type="http://schemas.openxmlformats.org/officeDocument/2006/relationships/queryTable" Target="../queryTables/queryTable537.xml"/><Relationship Id="rId15" Type="http://schemas.openxmlformats.org/officeDocument/2006/relationships/queryTable" Target="../queryTables/queryTable264.xml"/><Relationship Id="rId36" Type="http://schemas.openxmlformats.org/officeDocument/2006/relationships/queryTable" Target="../queryTables/queryTable285.xml"/><Relationship Id="rId57" Type="http://schemas.openxmlformats.org/officeDocument/2006/relationships/queryTable" Target="../queryTables/queryTable306.xml"/><Relationship Id="rId106" Type="http://schemas.openxmlformats.org/officeDocument/2006/relationships/queryTable" Target="../queryTables/queryTable355.xml"/><Relationship Id="rId127" Type="http://schemas.openxmlformats.org/officeDocument/2006/relationships/queryTable" Target="../queryTables/queryTable376.xml"/><Relationship Id="rId262" Type="http://schemas.openxmlformats.org/officeDocument/2006/relationships/queryTable" Target="../queryTables/queryTable511.xml"/><Relationship Id="rId283" Type="http://schemas.openxmlformats.org/officeDocument/2006/relationships/queryTable" Target="../queryTables/queryTable532.xml"/><Relationship Id="rId313" Type="http://schemas.openxmlformats.org/officeDocument/2006/relationships/queryTable" Target="../queryTables/queryTable562.xml"/><Relationship Id="rId318" Type="http://schemas.openxmlformats.org/officeDocument/2006/relationships/queryTable" Target="../queryTables/queryTable567.xml"/><Relationship Id="rId339" Type="http://schemas.openxmlformats.org/officeDocument/2006/relationships/queryTable" Target="../queryTables/queryTable588.xml"/><Relationship Id="rId10" Type="http://schemas.openxmlformats.org/officeDocument/2006/relationships/queryTable" Target="../queryTables/queryTable259.xml"/><Relationship Id="rId31" Type="http://schemas.openxmlformats.org/officeDocument/2006/relationships/queryTable" Target="../queryTables/queryTable280.xml"/><Relationship Id="rId52" Type="http://schemas.openxmlformats.org/officeDocument/2006/relationships/queryTable" Target="../queryTables/queryTable301.xml"/><Relationship Id="rId73" Type="http://schemas.openxmlformats.org/officeDocument/2006/relationships/queryTable" Target="../queryTables/queryTable322.xml"/><Relationship Id="rId78" Type="http://schemas.openxmlformats.org/officeDocument/2006/relationships/queryTable" Target="../queryTables/queryTable327.xml"/><Relationship Id="rId94" Type="http://schemas.openxmlformats.org/officeDocument/2006/relationships/queryTable" Target="../queryTables/queryTable343.xml"/><Relationship Id="rId99" Type="http://schemas.openxmlformats.org/officeDocument/2006/relationships/queryTable" Target="../queryTables/queryTable348.xml"/><Relationship Id="rId101" Type="http://schemas.openxmlformats.org/officeDocument/2006/relationships/queryTable" Target="../queryTables/queryTable350.xml"/><Relationship Id="rId122" Type="http://schemas.openxmlformats.org/officeDocument/2006/relationships/queryTable" Target="../queryTables/queryTable371.xml"/><Relationship Id="rId143" Type="http://schemas.openxmlformats.org/officeDocument/2006/relationships/queryTable" Target="../queryTables/queryTable392.xml"/><Relationship Id="rId148" Type="http://schemas.openxmlformats.org/officeDocument/2006/relationships/queryTable" Target="../queryTables/queryTable397.xml"/><Relationship Id="rId164" Type="http://schemas.openxmlformats.org/officeDocument/2006/relationships/queryTable" Target="../queryTables/queryTable413.xml"/><Relationship Id="rId169" Type="http://schemas.openxmlformats.org/officeDocument/2006/relationships/queryTable" Target="../queryTables/queryTable418.xml"/><Relationship Id="rId185" Type="http://schemas.openxmlformats.org/officeDocument/2006/relationships/queryTable" Target="../queryTables/queryTable434.xml"/><Relationship Id="rId334" Type="http://schemas.openxmlformats.org/officeDocument/2006/relationships/queryTable" Target="../queryTables/queryTable583.xml"/><Relationship Id="rId350" Type="http://schemas.openxmlformats.org/officeDocument/2006/relationships/queryTable" Target="../queryTables/queryTable599.xml"/><Relationship Id="rId355" Type="http://schemas.openxmlformats.org/officeDocument/2006/relationships/queryTable" Target="../queryTables/queryTable604.xml"/><Relationship Id="rId4" Type="http://schemas.openxmlformats.org/officeDocument/2006/relationships/queryTable" Target="../queryTables/queryTable253.xml"/><Relationship Id="rId9" Type="http://schemas.openxmlformats.org/officeDocument/2006/relationships/queryTable" Target="../queryTables/queryTable258.xml"/><Relationship Id="rId180" Type="http://schemas.openxmlformats.org/officeDocument/2006/relationships/queryTable" Target="../queryTables/queryTable429.xml"/><Relationship Id="rId210" Type="http://schemas.openxmlformats.org/officeDocument/2006/relationships/queryTable" Target="../queryTables/queryTable459.xml"/><Relationship Id="rId215" Type="http://schemas.openxmlformats.org/officeDocument/2006/relationships/queryTable" Target="../queryTables/queryTable464.xml"/><Relationship Id="rId236" Type="http://schemas.openxmlformats.org/officeDocument/2006/relationships/queryTable" Target="../queryTables/queryTable485.xml"/><Relationship Id="rId257" Type="http://schemas.openxmlformats.org/officeDocument/2006/relationships/queryTable" Target="../queryTables/queryTable506.xml"/><Relationship Id="rId278" Type="http://schemas.openxmlformats.org/officeDocument/2006/relationships/queryTable" Target="../queryTables/queryTable527.xml"/><Relationship Id="rId26" Type="http://schemas.openxmlformats.org/officeDocument/2006/relationships/queryTable" Target="../queryTables/queryTable275.xml"/><Relationship Id="rId231" Type="http://schemas.openxmlformats.org/officeDocument/2006/relationships/queryTable" Target="../queryTables/queryTable480.xml"/><Relationship Id="rId252" Type="http://schemas.openxmlformats.org/officeDocument/2006/relationships/queryTable" Target="../queryTables/queryTable501.xml"/><Relationship Id="rId273" Type="http://schemas.openxmlformats.org/officeDocument/2006/relationships/queryTable" Target="../queryTables/queryTable522.xml"/><Relationship Id="rId294" Type="http://schemas.openxmlformats.org/officeDocument/2006/relationships/queryTable" Target="../queryTables/queryTable543.xml"/><Relationship Id="rId308" Type="http://schemas.openxmlformats.org/officeDocument/2006/relationships/queryTable" Target="../queryTables/queryTable557.xml"/><Relationship Id="rId329" Type="http://schemas.openxmlformats.org/officeDocument/2006/relationships/queryTable" Target="../queryTables/queryTable578.xml"/><Relationship Id="rId47" Type="http://schemas.openxmlformats.org/officeDocument/2006/relationships/queryTable" Target="../queryTables/queryTable296.xml"/><Relationship Id="rId68" Type="http://schemas.openxmlformats.org/officeDocument/2006/relationships/queryTable" Target="../queryTables/queryTable317.xml"/><Relationship Id="rId89" Type="http://schemas.openxmlformats.org/officeDocument/2006/relationships/queryTable" Target="../queryTables/queryTable338.xml"/><Relationship Id="rId112" Type="http://schemas.openxmlformats.org/officeDocument/2006/relationships/queryTable" Target="../queryTables/queryTable361.xml"/><Relationship Id="rId133" Type="http://schemas.openxmlformats.org/officeDocument/2006/relationships/queryTable" Target="../queryTables/queryTable382.xml"/><Relationship Id="rId154" Type="http://schemas.openxmlformats.org/officeDocument/2006/relationships/queryTable" Target="../queryTables/queryTable403.xml"/><Relationship Id="rId175" Type="http://schemas.openxmlformats.org/officeDocument/2006/relationships/queryTable" Target="../queryTables/queryTable424.xml"/><Relationship Id="rId340" Type="http://schemas.openxmlformats.org/officeDocument/2006/relationships/queryTable" Target="../queryTables/queryTable589.xml"/><Relationship Id="rId196" Type="http://schemas.openxmlformats.org/officeDocument/2006/relationships/queryTable" Target="../queryTables/queryTable445.xml"/><Relationship Id="rId200" Type="http://schemas.openxmlformats.org/officeDocument/2006/relationships/queryTable" Target="../queryTables/queryTable449.xml"/><Relationship Id="rId16" Type="http://schemas.openxmlformats.org/officeDocument/2006/relationships/queryTable" Target="../queryTables/queryTable265.xml"/><Relationship Id="rId221" Type="http://schemas.openxmlformats.org/officeDocument/2006/relationships/queryTable" Target="../queryTables/queryTable470.xml"/><Relationship Id="rId242" Type="http://schemas.openxmlformats.org/officeDocument/2006/relationships/queryTable" Target="../queryTables/queryTable491.xml"/><Relationship Id="rId263" Type="http://schemas.openxmlformats.org/officeDocument/2006/relationships/queryTable" Target="../queryTables/queryTable512.xml"/><Relationship Id="rId284" Type="http://schemas.openxmlformats.org/officeDocument/2006/relationships/queryTable" Target="../queryTables/queryTable533.xml"/><Relationship Id="rId319" Type="http://schemas.openxmlformats.org/officeDocument/2006/relationships/queryTable" Target="../queryTables/queryTable568.xml"/><Relationship Id="rId37" Type="http://schemas.openxmlformats.org/officeDocument/2006/relationships/queryTable" Target="../queryTables/queryTable286.xml"/><Relationship Id="rId58" Type="http://schemas.openxmlformats.org/officeDocument/2006/relationships/queryTable" Target="../queryTables/queryTable307.xml"/><Relationship Id="rId79" Type="http://schemas.openxmlformats.org/officeDocument/2006/relationships/queryTable" Target="../queryTables/queryTable328.xml"/><Relationship Id="rId102" Type="http://schemas.openxmlformats.org/officeDocument/2006/relationships/queryTable" Target="../queryTables/queryTable351.xml"/><Relationship Id="rId123" Type="http://schemas.openxmlformats.org/officeDocument/2006/relationships/queryTable" Target="../queryTables/queryTable372.xml"/><Relationship Id="rId144" Type="http://schemas.openxmlformats.org/officeDocument/2006/relationships/queryTable" Target="../queryTables/queryTable393.xml"/><Relationship Id="rId330" Type="http://schemas.openxmlformats.org/officeDocument/2006/relationships/queryTable" Target="../queryTables/queryTable579.xml"/><Relationship Id="rId90" Type="http://schemas.openxmlformats.org/officeDocument/2006/relationships/queryTable" Target="../queryTables/queryTable339.xml"/><Relationship Id="rId165" Type="http://schemas.openxmlformats.org/officeDocument/2006/relationships/queryTable" Target="../queryTables/queryTable414.xml"/><Relationship Id="rId186" Type="http://schemas.openxmlformats.org/officeDocument/2006/relationships/queryTable" Target="../queryTables/queryTable435.xml"/><Relationship Id="rId351" Type="http://schemas.openxmlformats.org/officeDocument/2006/relationships/queryTable" Target="../queryTables/queryTable600.xml"/><Relationship Id="rId211" Type="http://schemas.openxmlformats.org/officeDocument/2006/relationships/queryTable" Target="../queryTables/queryTable460.xml"/><Relationship Id="rId232" Type="http://schemas.openxmlformats.org/officeDocument/2006/relationships/queryTable" Target="../queryTables/queryTable481.xml"/><Relationship Id="rId253" Type="http://schemas.openxmlformats.org/officeDocument/2006/relationships/queryTable" Target="../queryTables/queryTable502.xml"/><Relationship Id="rId274" Type="http://schemas.openxmlformats.org/officeDocument/2006/relationships/queryTable" Target="../queryTables/queryTable523.xml"/><Relationship Id="rId295" Type="http://schemas.openxmlformats.org/officeDocument/2006/relationships/queryTable" Target="../queryTables/queryTable544.xml"/><Relationship Id="rId309" Type="http://schemas.openxmlformats.org/officeDocument/2006/relationships/queryTable" Target="../queryTables/queryTable558.xml"/><Relationship Id="rId27" Type="http://schemas.openxmlformats.org/officeDocument/2006/relationships/queryTable" Target="../queryTables/queryTable276.xml"/><Relationship Id="rId48" Type="http://schemas.openxmlformats.org/officeDocument/2006/relationships/queryTable" Target="../queryTables/queryTable297.xml"/><Relationship Id="rId69" Type="http://schemas.openxmlformats.org/officeDocument/2006/relationships/queryTable" Target="../queryTables/queryTable318.xml"/><Relationship Id="rId113" Type="http://schemas.openxmlformats.org/officeDocument/2006/relationships/queryTable" Target="../queryTables/queryTable362.xml"/><Relationship Id="rId134" Type="http://schemas.openxmlformats.org/officeDocument/2006/relationships/queryTable" Target="../queryTables/queryTable383.xml"/><Relationship Id="rId320" Type="http://schemas.openxmlformats.org/officeDocument/2006/relationships/queryTable" Target="../queryTables/queryTable569.xml"/><Relationship Id="rId80" Type="http://schemas.openxmlformats.org/officeDocument/2006/relationships/queryTable" Target="../queryTables/queryTable329.xml"/><Relationship Id="rId155" Type="http://schemas.openxmlformats.org/officeDocument/2006/relationships/queryTable" Target="../queryTables/queryTable404.xml"/><Relationship Id="rId176" Type="http://schemas.openxmlformats.org/officeDocument/2006/relationships/queryTable" Target="../queryTables/queryTable425.xml"/><Relationship Id="rId197" Type="http://schemas.openxmlformats.org/officeDocument/2006/relationships/queryTable" Target="../queryTables/queryTable446.xml"/><Relationship Id="rId341" Type="http://schemas.openxmlformats.org/officeDocument/2006/relationships/queryTable" Target="../queryTables/queryTable590.xml"/><Relationship Id="rId201" Type="http://schemas.openxmlformats.org/officeDocument/2006/relationships/queryTable" Target="../queryTables/queryTable450.xml"/><Relationship Id="rId222" Type="http://schemas.openxmlformats.org/officeDocument/2006/relationships/queryTable" Target="../queryTables/queryTable471.xml"/><Relationship Id="rId243" Type="http://schemas.openxmlformats.org/officeDocument/2006/relationships/queryTable" Target="../queryTables/queryTable492.xml"/><Relationship Id="rId264" Type="http://schemas.openxmlformats.org/officeDocument/2006/relationships/queryTable" Target="../queryTables/queryTable513.xml"/><Relationship Id="rId285" Type="http://schemas.openxmlformats.org/officeDocument/2006/relationships/queryTable" Target="../queryTables/queryTable534.xml"/><Relationship Id="rId17" Type="http://schemas.openxmlformats.org/officeDocument/2006/relationships/queryTable" Target="../queryTables/queryTable266.xml"/><Relationship Id="rId38" Type="http://schemas.openxmlformats.org/officeDocument/2006/relationships/queryTable" Target="../queryTables/queryTable287.xml"/><Relationship Id="rId59" Type="http://schemas.openxmlformats.org/officeDocument/2006/relationships/queryTable" Target="../queryTables/queryTable308.xml"/><Relationship Id="rId103" Type="http://schemas.openxmlformats.org/officeDocument/2006/relationships/queryTable" Target="../queryTables/queryTable352.xml"/><Relationship Id="rId124" Type="http://schemas.openxmlformats.org/officeDocument/2006/relationships/queryTable" Target="../queryTables/queryTable373.xml"/><Relationship Id="rId310" Type="http://schemas.openxmlformats.org/officeDocument/2006/relationships/queryTable" Target="../queryTables/queryTable559.xml"/><Relationship Id="rId70" Type="http://schemas.openxmlformats.org/officeDocument/2006/relationships/queryTable" Target="../queryTables/queryTable319.xml"/><Relationship Id="rId91" Type="http://schemas.openxmlformats.org/officeDocument/2006/relationships/queryTable" Target="../queryTables/queryTable340.xml"/><Relationship Id="rId145" Type="http://schemas.openxmlformats.org/officeDocument/2006/relationships/queryTable" Target="../queryTables/queryTable394.xml"/><Relationship Id="rId166" Type="http://schemas.openxmlformats.org/officeDocument/2006/relationships/queryTable" Target="../queryTables/queryTable415.xml"/><Relationship Id="rId187" Type="http://schemas.openxmlformats.org/officeDocument/2006/relationships/queryTable" Target="../queryTables/queryTable436.xml"/><Relationship Id="rId331" Type="http://schemas.openxmlformats.org/officeDocument/2006/relationships/queryTable" Target="../queryTables/queryTable580.xml"/><Relationship Id="rId352" Type="http://schemas.openxmlformats.org/officeDocument/2006/relationships/queryTable" Target="../queryTables/queryTable601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1.xml"/><Relationship Id="rId233" Type="http://schemas.openxmlformats.org/officeDocument/2006/relationships/queryTable" Target="../queryTables/queryTable482.xml"/><Relationship Id="rId254" Type="http://schemas.openxmlformats.org/officeDocument/2006/relationships/queryTable" Target="../queryTables/queryTable503.xml"/><Relationship Id="rId28" Type="http://schemas.openxmlformats.org/officeDocument/2006/relationships/queryTable" Target="../queryTables/queryTable277.xml"/><Relationship Id="rId49" Type="http://schemas.openxmlformats.org/officeDocument/2006/relationships/queryTable" Target="../queryTables/queryTable298.xml"/><Relationship Id="rId114" Type="http://schemas.openxmlformats.org/officeDocument/2006/relationships/queryTable" Target="../queryTables/queryTable363.xml"/><Relationship Id="rId275" Type="http://schemas.openxmlformats.org/officeDocument/2006/relationships/queryTable" Target="../queryTables/queryTable524.xml"/><Relationship Id="rId296" Type="http://schemas.openxmlformats.org/officeDocument/2006/relationships/queryTable" Target="../queryTables/queryTable545.xml"/><Relationship Id="rId300" Type="http://schemas.openxmlformats.org/officeDocument/2006/relationships/queryTable" Target="../queryTables/queryTable549.xml"/><Relationship Id="rId60" Type="http://schemas.openxmlformats.org/officeDocument/2006/relationships/queryTable" Target="../queryTables/queryTable309.xml"/><Relationship Id="rId81" Type="http://schemas.openxmlformats.org/officeDocument/2006/relationships/queryTable" Target="../queryTables/queryTable330.xml"/><Relationship Id="rId135" Type="http://schemas.openxmlformats.org/officeDocument/2006/relationships/queryTable" Target="../queryTables/queryTable384.xml"/><Relationship Id="rId156" Type="http://schemas.openxmlformats.org/officeDocument/2006/relationships/queryTable" Target="../queryTables/queryTable405.xml"/><Relationship Id="rId177" Type="http://schemas.openxmlformats.org/officeDocument/2006/relationships/queryTable" Target="../queryTables/queryTable426.xml"/><Relationship Id="rId198" Type="http://schemas.openxmlformats.org/officeDocument/2006/relationships/queryTable" Target="../queryTables/queryTable447.xml"/><Relationship Id="rId321" Type="http://schemas.openxmlformats.org/officeDocument/2006/relationships/queryTable" Target="../queryTables/queryTable570.xml"/><Relationship Id="rId342" Type="http://schemas.openxmlformats.org/officeDocument/2006/relationships/queryTable" Target="../queryTables/queryTable591.xml"/><Relationship Id="rId202" Type="http://schemas.openxmlformats.org/officeDocument/2006/relationships/queryTable" Target="../queryTables/queryTable451.xml"/><Relationship Id="rId223" Type="http://schemas.openxmlformats.org/officeDocument/2006/relationships/queryTable" Target="../queryTables/queryTable472.xml"/><Relationship Id="rId244" Type="http://schemas.openxmlformats.org/officeDocument/2006/relationships/queryTable" Target="../queryTables/queryTable493.xml"/><Relationship Id="rId18" Type="http://schemas.openxmlformats.org/officeDocument/2006/relationships/queryTable" Target="../queryTables/queryTable267.xml"/><Relationship Id="rId39" Type="http://schemas.openxmlformats.org/officeDocument/2006/relationships/queryTable" Target="../queryTables/queryTable288.xml"/><Relationship Id="rId265" Type="http://schemas.openxmlformats.org/officeDocument/2006/relationships/queryTable" Target="../queryTables/queryTable514.xml"/><Relationship Id="rId286" Type="http://schemas.openxmlformats.org/officeDocument/2006/relationships/queryTable" Target="../queryTables/queryTable535.xml"/><Relationship Id="rId50" Type="http://schemas.openxmlformats.org/officeDocument/2006/relationships/queryTable" Target="../queryTables/queryTable299.xml"/><Relationship Id="rId104" Type="http://schemas.openxmlformats.org/officeDocument/2006/relationships/queryTable" Target="../queryTables/queryTable353.xml"/><Relationship Id="rId125" Type="http://schemas.openxmlformats.org/officeDocument/2006/relationships/queryTable" Target="../queryTables/queryTable374.xml"/><Relationship Id="rId146" Type="http://schemas.openxmlformats.org/officeDocument/2006/relationships/queryTable" Target="../queryTables/queryTable395.xml"/><Relationship Id="rId167" Type="http://schemas.openxmlformats.org/officeDocument/2006/relationships/queryTable" Target="../queryTables/queryTable416.xml"/><Relationship Id="rId188" Type="http://schemas.openxmlformats.org/officeDocument/2006/relationships/queryTable" Target="../queryTables/queryTable437.xml"/><Relationship Id="rId311" Type="http://schemas.openxmlformats.org/officeDocument/2006/relationships/queryTable" Target="../queryTables/queryTable560.xml"/><Relationship Id="rId332" Type="http://schemas.openxmlformats.org/officeDocument/2006/relationships/queryTable" Target="../queryTables/queryTable581.xml"/><Relationship Id="rId353" Type="http://schemas.openxmlformats.org/officeDocument/2006/relationships/queryTable" Target="../queryTables/queryTable602.xml"/><Relationship Id="rId71" Type="http://schemas.openxmlformats.org/officeDocument/2006/relationships/queryTable" Target="../queryTables/queryTable320.xml"/><Relationship Id="rId92" Type="http://schemas.openxmlformats.org/officeDocument/2006/relationships/queryTable" Target="../queryTables/queryTable341.xml"/><Relationship Id="rId213" Type="http://schemas.openxmlformats.org/officeDocument/2006/relationships/queryTable" Target="../queryTables/queryTable462.xml"/><Relationship Id="rId234" Type="http://schemas.openxmlformats.org/officeDocument/2006/relationships/queryTable" Target="../queryTables/queryTable483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78.xml"/><Relationship Id="rId255" Type="http://schemas.openxmlformats.org/officeDocument/2006/relationships/queryTable" Target="../queryTables/queryTable504.xml"/><Relationship Id="rId276" Type="http://schemas.openxmlformats.org/officeDocument/2006/relationships/queryTable" Target="../queryTables/queryTable525.xml"/><Relationship Id="rId297" Type="http://schemas.openxmlformats.org/officeDocument/2006/relationships/queryTable" Target="../queryTables/queryTable546.xml"/><Relationship Id="rId40" Type="http://schemas.openxmlformats.org/officeDocument/2006/relationships/queryTable" Target="../queryTables/queryTable289.xml"/><Relationship Id="rId115" Type="http://schemas.openxmlformats.org/officeDocument/2006/relationships/queryTable" Target="../queryTables/queryTable364.xml"/><Relationship Id="rId136" Type="http://schemas.openxmlformats.org/officeDocument/2006/relationships/queryTable" Target="../queryTables/queryTable385.xml"/><Relationship Id="rId157" Type="http://schemas.openxmlformats.org/officeDocument/2006/relationships/queryTable" Target="../queryTables/queryTable406.xml"/><Relationship Id="rId178" Type="http://schemas.openxmlformats.org/officeDocument/2006/relationships/queryTable" Target="../queryTables/queryTable427.xml"/><Relationship Id="rId301" Type="http://schemas.openxmlformats.org/officeDocument/2006/relationships/queryTable" Target="../queryTables/queryTable550.xml"/><Relationship Id="rId322" Type="http://schemas.openxmlformats.org/officeDocument/2006/relationships/queryTable" Target="../queryTables/queryTable571.xml"/><Relationship Id="rId343" Type="http://schemas.openxmlformats.org/officeDocument/2006/relationships/queryTable" Target="../queryTables/queryTable592.xml"/><Relationship Id="rId61" Type="http://schemas.openxmlformats.org/officeDocument/2006/relationships/queryTable" Target="../queryTables/queryTable310.xml"/><Relationship Id="rId82" Type="http://schemas.openxmlformats.org/officeDocument/2006/relationships/queryTable" Target="../queryTables/queryTable331.xml"/><Relationship Id="rId199" Type="http://schemas.openxmlformats.org/officeDocument/2006/relationships/queryTable" Target="../queryTables/queryTable448.xml"/><Relationship Id="rId203" Type="http://schemas.openxmlformats.org/officeDocument/2006/relationships/queryTable" Target="../queryTables/queryTable452.xml"/><Relationship Id="rId19" Type="http://schemas.openxmlformats.org/officeDocument/2006/relationships/queryTable" Target="../queryTables/queryTable268.xml"/><Relationship Id="rId224" Type="http://schemas.openxmlformats.org/officeDocument/2006/relationships/queryTable" Target="../queryTables/queryTable473.xml"/><Relationship Id="rId245" Type="http://schemas.openxmlformats.org/officeDocument/2006/relationships/queryTable" Target="../queryTables/queryTable494.xml"/><Relationship Id="rId266" Type="http://schemas.openxmlformats.org/officeDocument/2006/relationships/queryTable" Target="../queryTables/queryTable515.xml"/><Relationship Id="rId287" Type="http://schemas.openxmlformats.org/officeDocument/2006/relationships/queryTable" Target="../queryTables/queryTable536.xml"/><Relationship Id="rId30" Type="http://schemas.openxmlformats.org/officeDocument/2006/relationships/queryTable" Target="../queryTables/queryTable279.xml"/><Relationship Id="rId105" Type="http://schemas.openxmlformats.org/officeDocument/2006/relationships/queryTable" Target="../queryTables/queryTable354.xml"/><Relationship Id="rId126" Type="http://schemas.openxmlformats.org/officeDocument/2006/relationships/queryTable" Target="../queryTables/queryTable375.xml"/><Relationship Id="rId147" Type="http://schemas.openxmlformats.org/officeDocument/2006/relationships/queryTable" Target="../queryTables/queryTable396.xml"/><Relationship Id="rId168" Type="http://schemas.openxmlformats.org/officeDocument/2006/relationships/queryTable" Target="../queryTables/queryTable417.xml"/><Relationship Id="rId312" Type="http://schemas.openxmlformats.org/officeDocument/2006/relationships/queryTable" Target="../queryTables/queryTable561.xml"/><Relationship Id="rId333" Type="http://schemas.openxmlformats.org/officeDocument/2006/relationships/queryTable" Target="../queryTables/queryTable582.xml"/><Relationship Id="rId354" Type="http://schemas.openxmlformats.org/officeDocument/2006/relationships/queryTable" Target="../queryTables/queryTable603.xml"/><Relationship Id="rId51" Type="http://schemas.openxmlformats.org/officeDocument/2006/relationships/queryTable" Target="../queryTables/queryTable300.xml"/><Relationship Id="rId72" Type="http://schemas.openxmlformats.org/officeDocument/2006/relationships/queryTable" Target="../queryTables/queryTable321.xml"/><Relationship Id="rId93" Type="http://schemas.openxmlformats.org/officeDocument/2006/relationships/queryTable" Target="../queryTables/queryTable342.xml"/><Relationship Id="rId189" Type="http://schemas.openxmlformats.org/officeDocument/2006/relationships/queryTable" Target="../queryTables/queryTable438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3.xml"/><Relationship Id="rId235" Type="http://schemas.openxmlformats.org/officeDocument/2006/relationships/queryTable" Target="../queryTables/queryTable484.xml"/><Relationship Id="rId256" Type="http://schemas.openxmlformats.org/officeDocument/2006/relationships/queryTable" Target="../queryTables/queryTable505.xml"/><Relationship Id="rId277" Type="http://schemas.openxmlformats.org/officeDocument/2006/relationships/queryTable" Target="../queryTables/queryTable526.xml"/><Relationship Id="rId298" Type="http://schemas.openxmlformats.org/officeDocument/2006/relationships/queryTable" Target="../queryTables/queryTable547.xml"/><Relationship Id="rId116" Type="http://schemas.openxmlformats.org/officeDocument/2006/relationships/queryTable" Target="../queryTables/queryTable365.xml"/><Relationship Id="rId137" Type="http://schemas.openxmlformats.org/officeDocument/2006/relationships/queryTable" Target="../queryTables/queryTable386.xml"/><Relationship Id="rId158" Type="http://schemas.openxmlformats.org/officeDocument/2006/relationships/queryTable" Target="../queryTables/queryTable407.xml"/><Relationship Id="rId302" Type="http://schemas.openxmlformats.org/officeDocument/2006/relationships/queryTable" Target="../queryTables/queryTable551.xml"/><Relationship Id="rId323" Type="http://schemas.openxmlformats.org/officeDocument/2006/relationships/queryTable" Target="../queryTables/queryTable572.xml"/><Relationship Id="rId344" Type="http://schemas.openxmlformats.org/officeDocument/2006/relationships/queryTable" Target="../queryTables/queryTable593.xml"/><Relationship Id="rId20" Type="http://schemas.openxmlformats.org/officeDocument/2006/relationships/queryTable" Target="../queryTables/queryTable269.xml"/><Relationship Id="rId41" Type="http://schemas.openxmlformats.org/officeDocument/2006/relationships/queryTable" Target="../queryTables/queryTable290.xml"/><Relationship Id="rId62" Type="http://schemas.openxmlformats.org/officeDocument/2006/relationships/queryTable" Target="../queryTables/queryTable311.xml"/><Relationship Id="rId83" Type="http://schemas.openxmlformats.org/officeDocument/2006/relationships/queryTable" Target="../queryTables/queryTable332.xml"/><Relationship Id="rId179" Type="http://schemas.openxmlformats.org/officeDocument/2006/relationships/queryTable" Target="../queryTables/queryTable42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22.xml"/><Relationship Id="rId299" Type="http://schemas.openxmlformats.org/officeDocument/2006/relationships/queryTable" Target="../queryTables/queryTable904.xml"/><Relationship Id="rId21" Type="http://schemas.openxmlformats.org/officeDocument/2006/relationships/queryTable" Target="../queryTables/queryTable626.xml"/><Relationship Id="rId63" Type="http://schemas.openxmlformats.org/officeDocument/2006/relationships/queryTable" Target="../queryTables/queryTable668.xml"/><Relationship Id="rId159" Type="http://schemas.openxmlformats.org/officeDocument/2006/relationships/queryTable" Target="../queryTables/queryTable764.xml"/><Relationship Id="rId324" Type="http://schemas.openxmlformats.org/officeDocument/2006/relationships/queryTable" Target="../queryTables/queryTable929.xml"/><Relationship Id="rId366" Type="http://schemas.openxmlformats.org/officeDocument/2006/relationships/queryTable" Target="../queryTables/queryTable971.xml"/><Relationship Id="rId170" Type="http://schemas.openxmlformats.org/officeDocument/2006/relationships/queryTable" Target="../queryTables/queryTable775.xml"/><Relationship Id="rId226" Type="http://schemas.openxmlformats.org/officeDocument/2006/relationships/queryTable" Target="../queryTables/queryTable831.xml"/><Relationship Id="rId433" Type="http://schemas.openxmlformats.org/officeDocument/2006/relationships/queryTable" Target="../queryTables/queryTable1038.xml"/><Relationship Id="rId268" Type="http://schemas.openxmlformats.org/officeDocument/2006/relationships/queryTable" Target="../queryTables/queryTable873.xml"/><Relationship Id="rId32" Type="http://schemas.openxmlformats.org/officeDocument/2006/relationships/queryTable" Target="../queryTables/queryTable637.xml"/><Relationship Id="rId74" Type="http://schemas.openxmlformats.org/officeDocument/2006/relationships/queryTable" Target="../queryTables/queryTable679.xml"/><Relationship Id="rId128" Type="http://schemas.openxmlformats.org/officeDocument/2006/relationships/queryTable" Target="../queryTables/queryTable733.xml"/><Relationship Id="rId335" Type="http://schemas.openxmlformats.org/officeDocument/2006/relationships/queryTable" Target="../queryTables/queryTable940.xml"/><Relationship Id="rId377" Type="http://schemas.openxmlformats.org/officeDocument/2006/relationships/queryTable" Target="../queryTables/queryTable982.xml"/><Relationship Id="rId5" Type="http://schemas.openxmlformats.org/officeDocument/2006/relationships/queryTable" Target="../queryTables/queryTable610.xml"/><Relationship Id="rId181" Type="http://schemas.openxmlformats.org/officeDocument/2006/relationships/queryTable" Target="../queryTables/queryTable786.xml"/><Relationship Id="rId237" Type="http://schemas.openxmlformats.org/officeDocument/2006/relationships/queryTable" Target="../queryTables/queryTable842.xml"/><Relationship Id="rId402" Type="http://schemas.openxmlformats.org/officeDocument/2006/relationships/queryTable" Target="../queryTables/queryTable1007.xml"/><Relationship Id="rId279" Type="http://schemas.openxmlformats.org/officeDocument/2006/relationships/queryTable" Target="../queryTables/queryTable884.xml"/><Relationship Id="rId444" Type="http://schemas.openxmlformats.org/officeDocument/2006/relationships/queryTable" Target="../queryTables/queryTable1049.xml"/><Relationship Id="rId43" Type="http://schemas.openxmlformats.org/officeDocument/2006/relationships/queryTable" Target="../queryTables/queryTable648.xml"/><Relationship Id="rId139" Type="http://schemas.openxmlformats.org/officeDocument/2006/relationships/queryTable" Target="../queryTables/queryTable744.xml"/><Relationship Id="rId290" Type="http://schemas.openxmlformats.org/officeDocument/2006/relationships/queryTable" Target="../queryTables/queryTable895.xml"/><Relationship Id="rId304" Type="http://schemas.openxmlformats.org/officeDocument/2006/relationships/queryTable" Target="../queryTables/queryTable909.xml"/><Relationship Id="rId346" Type="http://schemas.openxmlformats.org/officeDocument/2006/relationships/queryTable" Target="../queryTables/queryTable951.xml"/><Relationship Id="rId388" Type="http://schemas.openxmlformats.org/officeDocument/2006/relationships/queryTable" Target="../queryTables/queryTable993.xml"/><Relationship Id="rId85" Type="http://schemas.openxmlformats.org/officeDocument/2006/relationships/queryTable" Target="../queryTables/queryTable690.xml"/><Relationship Id="rId150" Type="http://schemas.openxmlformats.org/officeDocument/2006/relationships/queryTable" Target="../queryTables/queryTable755.xml"/><Relationship Id="rId192" Type="http://schemas.openxmlformats.org/officeDocument/2006/relationships/queryTable" Target="../queryTables/queryTable797.xml"/><Relationship Id="rId206" Type="http://schemas.openxmlformats.org/officeDocument/2006/relationships/queryTable" Target="../queryTables/queryTable811.xml"/><Relationship Id="rId413" Type="http://schemas.openxmlformats.org/officeDocument/2006/relationships/queryTable" Target="../queryTables/queryTable1018.xml"/><Relationship Id="rId248" Type="http://schemas.openxmlformats.org/officeDocument/2006/relationships/queryTable" Target="../queryTables/queryTable853.xml"/><Relationship Id="rId12" Type="http://schemas.openxmlformats.org/officeDocument/2006/relationships/queryTable" Target="../queryTables/queryTable617.xml"/><Relationship Id="rId108" Type="http://schemas.openxmlformats.org/officeDocument/2006/relationships/queryTable" Target="../queryTables/queryTable713.xml"/><Relationship Id="rId315" Type="http://schemas.openxmlformats.org/officeDocument/2006/relationships/queryTable" Target="../queryTables/queryTable920.xml"/><Relationship Id="rId357" Type="http://schemas.openxmlformats.org/officeDocument/2006/relationships/queryTable" Target="../queryTables/queryTable962.xml"/><Relationship Id="rId54" Type="http://schemas.openxmlformats.org/officeDocument/2006/relationships/queryTable" Target="../queryTables/queryTable659.xml"/><Relationship Id="rId75" Type="http://schemas.openxmlformats.org/officeDocument/2006/relationships/queryTable" Target="../queryTables/queryTable680.xml"/><Relationship Id="rId96" Type="http://schemas.openxmlformats.org/officeDocument/2006/relationships/queryTable" Target="../queryTables/queryTable701.xml"/><Relationship Id="rId140" Type="http://schemas.openxmlformats.org/officeDocument/2006/relationships/queryTable" Target="../queryTables/queryTable745.xml"/><Relationship Id="rId161" Type="http://schemas.openxmlformats.org/officeDocument/2006/relationships/queryTable" Target="../queryTables/queryTable766.xml"/><Relationship Id="rId182" Type="http://schemas.openxmlformats.org/officeDocument/2006/relationships/queryTable" Target="../queryTables/queryTable787.xml"/><Relationship Id="rId217" Type="http://schemas.openxmlformats.org/officeDocument/2006/relationships/queryTable" Target="../queryTables/queryTable822.xml"/><Relationship Id="rId378" Type="http://schemas.openxmlformats.org/officeDocument/2006/relationships/queryTable" Target="../queryTables/queryTable983.xml"/><Relationship Id="rId399" Type="http://schemas.openxmlformats.org/officeDocument/2006/relationships/queryTable" Target="../queryTables/queryTable1004.xml"/><Relationship Id="rId403" Type="http://schemas.openxmlformats.org/officeDocument/2006/relationships/queryTable" Target="../queryTables/queryTable1008.xml"/><Relationship Id="rId6" Type="http://schemas.openxmlformats.org/officeDocument/2006/relationships/queryTable" Target="../queryTables/queryTable611.xml"/><Relationship Id="rId238" Type="http://schemas.openxmlformats.org/officeDocument/2006/relationships/queryTable" Target="../queryTables/queryTable843.xml"/><Relationship Id="rId259" Type="http://schemas.openxmlformats.org/officeDocument/2006/relationships/queryTable" Target="../queryTables/queryTable864.xml"/><Relationship Id="rId424" Type="http://schemas.openxmlformats.org/officeDocument/2006/relationships/queryTable" Target="../queryTables/queryTable1029.xml"/><Relationship Id="rId445" Type="http://schemas.openxmlformats.org/officeDocument/2006/relationships/queryTable" Target="../queryTables/queryTable1050.xml"/><Relationship Id="rId23" Type="http://schemas.openxmlformats.org/officeDocument/2006/relationships/queryTable" Target="../queryTables/queryTable628.xml"/><Relationship Id="rId119" Type="http://schemas.openxmlformats.org/officeDocument/2006/relationships/queryTable" Target="../queryTables/queryTable724.xml"/><Relationship Id="rId270" Type="http://schemas.openxmlformats.org/officeDocument/2006/relationships/queryTable" Target="../queryTables/queryTable875.xml"/><Relationship Id="rId291" Type="http://schemas.openxmlformats.org/officeDocument/2006/relationships/queryTable" Target="../queryTables/queryTable896.xml"/><Relationship Id="rId305" Type="http://schemas.openxmlformats.org/officeDocument/2006/relationships/queryTable" Target="../queryTables/queryTable910.xml"/><Relationship Id="rId326" Type="http://schemas.openxmlformats.org/officeDocument/2006/relationships/queryTable" Target="../queryTables/queryTable931.xml"/><Relationship Id="rId347" Type="http://schemas.openxmlformats.org/officeDocument/2006/relationships/queryTable" Target="../queryTables/queryTable952.xml"/><Relationship Id="rId44" Type="http://schemas.openxmlformats.org/officeDocument/2006/relationships/queryTable" Target="../queryTables/queryTable649.xml"/><Relationship Id="rId65" Type="http://schemas.openxmlformats.org/officeDocument/2006/relationships/queryTable" Target="../queryTables/queryTable670.xml"/><Relationship Id="rId86" Type="http://schemas.openxmlformats.org/officeDocument/2006/relationships/queryTable" Target="../queryTables/queryTable691.xml"/><Relationship Id="rId130" Type="http://schemas.openxmlformats.org/officeDocument/2006/relationships/queryTable" Target="../queryTables/queryTable735.xml"/><Relationship Id="rId151" Type="http://schemas.openxmlformats.org/officeDocument/2006/relationships/queryTable" Target="../queryTables/queryTable756.xml"/><Relationship Id="rId368" Type="http://schemas.openxmlformats.org/officeDocument/2006/relationships/queryTable" Target="../queryTables/queryTable973.xml"/><Relationship Id="rId389" Type="http://schemas.openxmlformats.org/officeDocument/2006/relationships/queryTable" Target="../queryTables/queryTable994.xml"/><Relationship Id="rId172" Type="http://schemas.openxmlformats.org/officeDocument/2006/relationships/queryTable" Target="../queryTables/queryTable777.xml"/><Relationship Id="rId193" Type="http://schemas.openxmlformats.org/officeDocument/2006/relationships/queryTable" Target="../queryTables/queryTable798.xml"/><Relationship Id="rId207" Type="http://schemas.openxmlformats.org/officeDocument/2006/relationships/queryTable" Target="../queryTables/queryTable812.xml"/><Relationship Id="rId228" Type="http://schemas.openxmlformats.org/officeDocument/2006/relationships/queryTable" Target="../queryTables/queryTable833.xml"/><Relationship Id="rId249" Type="http://schemas.openxmlformats.org/officeDocument/2006/relationships/queryTable" Target="../queryTables/queryTable854.xml"/><Relationship Id="rId414" Type="http://schemas.openxmlformats.org/officeDocument/2006/relationships/queryTable" Target="../queryTables/queryTable1019.xml"/><Relationship Id="rId435" Type="http://schemas.openxmlformats.org/officeDocument/2006/relationships/queryTable" Target="../queryTables/queryTable1040.xml"/><Relationship Id="rId13" Type="http://schemas.openxmlformats.org/officeDocument/2006/relationships/queryTable" Target="../queryTables/queryTable618.xml"/><Relationship Id="rId109" Type="http://schemas.openxmlformats.org/officeDocument/2006/relationships/queryTable" Target="../queryTables/queryTable714.xml"/><Relationship Id="rId260" Type="http://schemas.openxmlformats.org/officeDocument/2006/relationships/queryTable" Target="../queryTables/queryTable865.xml"/><Relationship Id="rId281" Type="http://schemas.openxmlformats.org/officeDocument/2006/relationships/queryTable" Target="../queryTables/queryTable886.xml"/><Relationship Id="rId316" Type="http://schemas.openxmlformats.org/officeDocument/2006/relationships/queryTable" Target="../queryTables/queryTable921.xml"/><Relationship Id="rId337" Type="http://schemas.openxmlformats.org/officeDocument/2006/relationships/queryTable" Target="../queryTables/queryTable942.xml"/><Relationship Id="rId34" Type="http://schemas.openxmlformats.org/officeDocument/2006/relationships/queryTable" Target="../queryTables/queryTable639.xml"/><Relationship Id="rId55" Type="http://schemas.openxmlformats.org/officeDocument/2006/relationships/queryTable" Target="../queryTables/queryTable660.xml"/><Relationship Id="rId76" Type="http://schemas.openxmlformats.org/officeDocument/2006/relationships/queryTable" Target="../queryTables/queryTable681.xml"/><Relationship Id="rId97" Type="http://schemas.openxmlformats.org/officeDocument/2006/relationships/queryTable" Target="../queryTables/queryTable702.xml"/><Relationship Id="rId120" Type="http://schemas.openxmlformats.org/officeDocument/2006/relationships/queryTable" Target="../queryTables/queryTable725.xml"/><Relationship Id="rId141" Type="http://schemas.openxmlformats.org/officeDocument/2006/relationships/queryTable" Target="../queryTables/queryTable746.xml"/><Relationship Id="rId358" Type="http://schemas.openxmlformats.org/officeDocument/2006/relationships/queryTable" Target="../queryTables/queryTable963.xml"/><Relationship Id="rId379" Type="http://schemas.openxmlformats.org/officeDocument/2006/relationships/queryTable" Target="../queryTables/queryTable984.xml"/><Relationship Id="rId7" Type="http://schemas.openxmlformats.org/officeDocument/2006/relationships/queryTable" Target="../queryTables/queryTable612.xml"/><Relationship Id="rId162" Type="http://schemas.openxmlformats.org/officeDocument/2006/relationships/queryTable" Target="../queryTables/queryTable767.xml"/><Relationship Id="rId183" Type="http://schemas.openxmlformats.org/officeDocument/2006/relationships/queryTable" Target="../queryTables/queryTable788.xml"/><Relationship Id="rId218" Type="http://schemas.openxmlformats.org/officeDocument/2006/relationships/queryTable" Target="../queryTables/queryTable823.xml"/><Relationship Id="rId239" Type="http://schemas.openxmlformats.org/officeDocument/2006/relationships/queryTable" Target="../queryTables/queryTable844.xml"/><Relationship Id="rId390" Type="http://schemas.openxmlformats.org/officeDocument/2006/relationships/queryTable" Target="../queryTables/queryTable995.xml"/><Relationship Id="rId404" Type="http://schemas.openxmlformats.org/officeDocument/2006/relationships/queryTable" Target="../queryTables/queryTable1009.xml"/><Relationship Id="rId425" Type="http://schemas.openxmlformats.org/officeDocument/2006/relationships/queryTable" Target="../queryTables/queryTable1030.xml"/><Relationship Id="rId446" Type="http://schemas.openxmlformats.org/officeDocument/2006/relationships/queryTable" Target="../queryTables/queryTable1051.xml"/><Relationship Id="rId250" Type="http://schemas.openxmlformats.org/officeDocument/2006/relationships/queryTable" Target="../queryTables/queryTable855.xml"/><Relationship Id="rId271" Type="http://schemas.openxmlformats.org/officeDocument/2006/relationships/queryTable" Target="../queryTables/queryTable876.xml"/><Relationship Id="rId292" Type="http://schemas.openxmlformats.org/officeDocument/2006/relationships/queryTable" Target="../queryTables/queryTable897.xml"/><Relationship Id="rId306" Type="http://schemas.openxmlformats.org/officeDocument/2006/relationships/queryTable" Target="../queryTables/queryTable911.xml"/><Relationship Id="rId24" Type="http://schemas.openxmlformats.org/officeDocument/2006/relationships/queryTable" Target="../queryTables/queryTable629.xml"/><Relationship Id="rId45" Type="http://schemas.openxmlformats.org/officeDocument/2006/relationships/queryTable" Target="../queryTables/queryTable650.xml"/><Relationship Id="rId66" Type="http://schemas.openxmlformats.org/officeDocument/2006/relationships/queryTable" Target="../queryTables/queryTable671.xml"/><Relationship Id="rId87" Type="http://schemas.openxmlformats.org/officeDocument/2006/relationships/queryTable" Target="../queryTables/queryTable692.xml"/><Relationship Id="rId110" Type="http://schemas.openxmlformats.org/officeDocument/2006/relationships/queryTable" Target="../queryTables/queryTable715.xml"/><Relationship Id="rId131" Type="http://schemas.openxmlformats.org/officeDocument/2006/relationships/queryTable" Target="../queryTables/queryTable736.xml"/><Relationship Id="rId327" Type="http://schemas.openxmlformats.org/officeDocument/2006/relationships/queryTable" Target="../queryTables/queryTable932.xml"/><Relationship Id="rId348" Type="http://schemas.openxmlformats.org/officeDocument/2006/relationships/queryTable" Target="../queryTables/queryTable953.xml"/><Relationship Id="rId369" Type="http://schemas.openxmlformats.org/officeDocument/2006/relationships/queryTable" Target="../queryTables/queryTable974.xml"/><Relationship Id="rId152" Type="http://schemas.openxmlformats.org/officeDocument/2006/relationships/queryTable" Target="../queryTables/queryTable757.xml"/><Relationship Id="rId173" Type="http://schemas.openxmlformats.org/officeDocument/2006/relationships/queryTable" Target="../queryTables/queryTable778.xml"/><Relationship Id="rId194" Type="http://schemas.openxmlformats.org/officeDocument/2006/relationships/queryTable" Target="../queryTables/queryTable799.xml"/><Relationship Id="rId208" Type="http://schemas.openxmlformats.org/officeDocument/2006/relationships/queryTable" Target="../queryTables/queryTable813.xml"/><Relationship Id="rId229" Type="http://schemas.openxmlformats.org/officeDocument/2006/relationships/queryTable" Target="../queryTables/queryTable834.xml"/><Relationship Id="rId380" Type="http://schemas.openxmlformats.org/officeDocument/2006/relationships/queryTable" Target="../queryTables/queryTable985.xml"/><Relationship Id="rId415" Type="http://schemas.openxmlformats.org/officeDocument/2006/relationships/queryTable" Target="../queryTables/queryTable1020.xml"/><Relationship Id="rId436" Type="http://schemas.openxmlformats.org/officeDocument/2006/relationships/queryTable" Target="../queryTables/queryTable1041.xml"/><Relationship Id="rId240" Type="http://schemas.openxmlformats.org/officeDocument/2006/relationships/queryTable" Target="../queryTables/queryTable845.xml"/><Relationship Id="rId261" Type="http://schemas.openxmlformats.org/officeDocument/2006/relationships/queryTable" Target="../queryTables/queryTable866.xml"/><Relationship Id="rId14" Type="http://schemas.openxmlformats.org/officeDocument/2006/relationships/queryTable" Target="../queryTables/queryTable619.xml"/><Relationship Id="rId35" Type="http://schemas.openxmlformats.org/officeDocument/2006/relationships/queryTable" Target="../queryTables/queryTable640.xml"/><Relationship Id="rId56" Type="http://schemas.openxmlformats.org/officeDocument/2006/relationships/queryTable" Target="../queryTables/queryTable661.xml"/><Relationship Id="rId77" Type="http://schemas.openxmlformats.org/officeDocument/2006/relationships/queryTable" Target="../queryTables/queryTable682.xml"/><Relationship Id="rId100" Type="http://schemas.openxmlformats.org/officeDocument/2006/relationships/queryTable" Target="../queryTables/queryTable705.xml"/><Relationship Id="rId282" Type="http://schemas.openxmlformats.org/officeDocument/2006/relationships/queryTable" Target="../queryTables/queryTable887.xml"/><Relationship Id="rId317" Type="http://schemas.openxmlformats.org/officeDocument/2006/relationships/queryTable" Target="../queryTables/queryTable922.xml"/><Relationship Id="rId338" Type="http://schemas.openxmlformats.org/officeDocument/2006/relationships/queryTable" Target="../queryTables/queryTable943.xml"/><Relationship Id="rId359" Type="http://schemas.openxmlformats.org/officeDocument/2006/relationships/queryTable" Target="../queryTables/queryTable964.xml"/><Relationship Id="rId8" Type="http://schemas.openxmlformats.org/officeDocument/2006/relationships/queryTable" Target="../queryTables/queryTable613.xml"/><Relationship Id="rId98" Type="http://schemas.openxmlformats.org/officeDocument/2006/relationships/queryTable" Target="../queryTables/queryTable703.xml"/><Relationship Id="rId121" Type="http://schemas.openxmlformats.org/officeDocument/2006/relationships/queryTable" Target="../queryTables/queryTable726.xml"/><Relationship Id="rId142" Type="http://schemas.openxmlformats.org/officeDocument/2006/relationships/queryTable" Target="../queryTables/queryTable747.xml"/><Relationship Id="rId163" Type="http://schemas.openxmlformats.org/officeDocument/2006/relationships/queryTable" Target="../queryTables/queryTable768.xml"/><Relationship Id="rId184" Type="http://schemas.openxmlformats.org/officeDocument/2006/relationships/queryTable" Target="../queryTables/queryTable789.xml"/><Relationship Id="rId219" Type="http://schemas.openxmlformats.org/officeDocument/2006/relationships/queryTable" Target="../queryTables/queryTable824.xml"/><Relationship Id="rId370" Type="http://schemas.openxmlformats.org/officeDocument/2006/relationships/queryTable" Target="../queryTables/queryTable975.xml"/><Relationship Id="rId391" Type="http://schemas.openxmlformats.org/officeDocument/2006/relationships/queryTable" Target="../queryTables/queryTable996.xml"/><Relationship Id="rId405" Type="http://schemas.openxmlformats.org/officeDocument/2006/relationships/queryTable" Target="../queryTables/queryTable1010.xml"/><Relationship Id="rId426" Type="http://schemas.openxmlformats.org/officeDocument/2006/relationships/queryTable" Target="../queryTables/queryTable1031.xml"/><Relationship Id="rId447" Type="http://schemas.openxmlformats.org/officeDocument/2006/relationships/queryTable" Target="../queryTables/queryTable1052.xml"/><Relationship Id="rId230" Type="http://schemas.openxmlformats.org/officeDocument/2006/relationships/queryTable" Target="../queryTables/queryTable835.xml"/><Relationship Id="rId251" Type="http://schemas.openxmlformats.org/officeDocument/2006/relationships/queryTable" Target="../queryTables/queryTable856.xml"/><Relationship Id="rId25" Type="http://schemas.openxmlformats.org/officeDocument/2006/relationships/queryTable" Target="../queryTables/queryTable630.xml"/><Relationship Id="rId46" Type="http://schemas.openxmlformats.org/officeDocument/2006/relationships/queryTable" Target="../queryTables/queryTable651.xml"/><Relationship Id="rId67" Type="http://schemas.openxmlformats.org/officeDocument/2006/relationships/queryTable" Target="../queryTables/queryTable672.xml"/><Relationship Id="rId272" Type="http://schemas.openxmlformats.org/officeDocument/2006/relationships/queryTable" Target="../queryTables/queryTable877.xml"/><Relationship Id="rId293" Type="http://schemas.openxmlformats.org/officeDocument/2006/relationships/queryTable" Target="../queryTables/queryTable898.xml"/><Relationship Id="rId307" Type="http://schemas.openxmlformats.org/officeDocument/2006/relationships/queryTable" Target="../queryTables/queryTable912.xml"/><Relationship Id="rId328" Type="http://schemas.openxmlformats.org/officeDocument/2006/relationships/queryTable" Target="../queryTables/queryTable933.xml"/><Relationship Id="rId349" Type="http://schemas.openxmlformats.org/officeDocument/2006/relationships/queryTable" Target="../queryTables/queryTable954.xml"/><Relationship Id="rId88" Type="http://schemas.openxmlformats.org/officeDocument/2006/relationships/queryTable" Target="../queryTables/queryTable693.xml"/><Relationship Id="rId111" Type="http://schemas.openxmlformats.org/officeDocument/2006/relationships/queryTable" Target="../queryTables/queryTable716.xml"/><Relationship Id="rId132" Type="http://schemas.openxmlformats.org/officeDocument/2006/relationships/queryTable" Target="../queryTables/queryTable737.xml"/><Relationship Id="rId153" Type="http://schemas.openxmlformats.org/officeDocument/2006/relationships/queryTable" Target="../queryTables/queryTable758.xml"/><Relationship Id="rId174" Type="http://schemas.openxmlformats.org/officeDocument/2006/relationships/queryTable" Target="../queryTables/queryTable779.xml"/><Relationship Id="rId195" Type="http://schemas.openxmlformats.org/officeDocument/2006/relationships/queryTable" Target="../queryTables/queryTable800.xml"/><Relationship Id="rId209" Type="http://schemas.openxmlformats.org/officeDocument/2006/relationships/queryTable" Target="../queryTables/queryTable814.xml"/><Relationship Id="rId360" Type="http://schemas.openxmlformats.org/officeDocument/2006/relationships/queryTable" Target="../queryTables/queryTable965.xml"/><Relationship Id="rId381" Type="http://schemas.openxmlformats.org/officeDocument/2006/relationships/queryTable" Target="../queryTables/queryTable986.xml"/><Relationship Id="rId416" Type="http://schemas.openxmlformats.org/officeDocument/2006/relationships/queryTable" Target="../queryTables/queryTable1021.xml"/><Relationship Id="rId220" Type="http://schemas.openxmlformats.org/officeDocument/2006/relationships/queryTable" Target="../queryTables/queryTable825.xml"/><Relationship Id="rId241" Type="http://schemas.openxmlformats.org/officeDocument/2006/relationships/queryTable" Target="../queryTables/queryTable846.xml"/><Relationship Id="rId437" Type="http://schemas.openxmlformats.org/officeDocument/2006/relationships/queryTable" Target="../queryTables/queryTable1042.xml"/><Relationship Id="rId15" Type="http://schemas.openxmlformats.org/officeDocument/2006/relationships/queryTable" Target="../queryTables/queryTable620.xml"/><Relationship Id="rId36" Type="http://schemas.openxmlformats.org/officeDocument/2006/relationships/queryTable" Target="../queryTables/queryTable641.xml"/><Relationship Id="rId57" Type="http://schemas.openxmlformats.org/officeDocument/2006/relationships/queryTable" Target="../queryTables/queryTable662.xml"/><Relationship Id="rId262" Type="http://schemas.openxmlformats.org/officeDocument/2006/relationships/queryTable" Target="../queryTables/queryTable867.xml"/><Relationship Id="rId283" Type="http://schemas.openxmlformats.org/officeDocument/2006/relationships/queryTable" Target="../queryTables/queryTable888.xml"/><Relationship Id="rId318" Type="http://schemas.openxmlformats.org/officeDocument/2006/relationships/queryTable" Target="../queryTables/queryTable923.xml"/><Relationship Id="rId339" Type="http://schemas.openxmlformats.org/officeDocument/2006/relationships/queryTable" Target="../queryTables/queryTable944.xml"/><Relationship Id="rId78" Type="http://schemas.openxmlformats.org/officeDocument/2006/relationships/queryTable" Target="../queryTables/queryTable683.xml"/><Relationship Id="rId99" Type="http://schemas.openxmlformats.org/officeDocument/2006/relationships/queryTable" Target="../queryTables/queryTable704.xml"/><Relationship Id="rId101" Type="http://schemas.openxmlformats.org/officeDocument/2006/relationships/queryTable" Target="../queryTables/queryTable706.xml"/><Relationship Id="rId122" Type="http://schemas.openxmlformats.org/officeDocument/2006/relationships/queryTable" Target="../queryTables/queryTable727.xml"/><Relationship Id="rId143" Type="http://schemas.openxmlformats.org/officeDocument/2006/relationships/queryTable" Target="../queryTables/queryTable748.xml"/><Relationship Id="rId164" Type="http://schemas.openxmlformats.org/officeDocument/2006/relationships/queryTable" Target="../queryTables/queryTable769.xml"/><Relationship Id="rId185" Type="http://schemas.openxmlformats.org/officeDocument/2006/relationships/queryTable" Target="../queryTables/queryTable790.xml"/><Relationship Id="rId350" Type="http://schemas.openxmlformats.org/officeDocument/2006/relationships/queryTable" Target="../queryTables/queryTable955.xml"/><Relationship Id="rId371" Type="http://schemas.openxmlformats.org/officeDocument/2006/relationships/queryTable" Target="../queryTables/queryTable976.xml"/><Relationship Id="rId406" Type="http://schemas.openxmlformats.org/officeDocument/2006/relationships/queryTable" Target="../queryTables/queryTable1011.xml"/><Relationship Id="rId9" Type="http://schemas.openxmlformats.org/officeDocument/2006/relationships/queryTable" Target="../queryTables/queryTable614.xml"/><Relationship Id="rId210" Type="http://schemas.openxmlformats.org/officeDocument/2006/relationships/queryTable" Target="../queryTables/queryTable815.xml"/><Relationship Id="rId392" Type="http://schemas.openxmlformats.org/officeDocument/2006/relationships/queryTable" Target="../queryTables/queryTable997.xml"/><Relationship Id="rId427" Type="http://schemas.openxmlformats.org/officeDocument/2006/relationships/queryTable" Target="../queryTables/queryTable1032.xml"/><Relationship Id="rId26" Type="http://schemas.openxmlformats.org/officeDocument/2006/relationships/queryTable" Target="../queryTables/queryTable631.xml"/><Relationship Id="rId231" Type="http://schemas.openxmlformats.org/officeDocument/2006/relationships/queryTable" Target="../queryTables/queryTable836.xml"/><Relationship Id="rId252" Type="http://schemas.openxmlformats.org/officeDocument/2006/relationships/queryTable" Target="../queryTables/queryTable857.xml"/><Relationship Id="rId273" Type="http://schemas.openxmlformats.org/officeDocument/2006/relationships/queryTable" Target="../queryTables/queryTable878.xml"/><Relationship Id="rId294" Type="http://schemas.openxmlformats.org/officeDocument/2006/relationships/queryTable" Target="../queryTables/queryTable899.xml"/><Relationship Id="rId308" Type="http://schemas.openxmlformats.org/officeDocument/2006/relationships/queryTable" Target="../queryTables/queryTable913.xml"/><Relationship Id="rId329" Type="http://schemas.openxmlformats.org/officeDocument/2006/relationships/queryTable" Target="../queryTables/queryTable934.xml"/><Relationship Id="rId47" Type="http://schemas.openxmlformats.org/officeDocument/2006/relationships/queryTable" Target="../queryTables/queryTable652.xml"/><Relationship Id="rId68" Type="http://schemas.openxmlformats.org/officeDocument/2006/relationships/queryTable" Target="../queryTables/queryTable673.xml"/><Relationship Id="rId89" Type="http://schemas.openxmlformats.org/officeDocument/2006/relationships/queryTable" Target="../queryTables/queryTable694.xml"/><Relationship Id="rId112" Type="http://schemas.openxmlformats.org/officeDocument/2006/relationships/queryTable" Target="../queryTables/queryTable717.xml"/><Relationship Id="rId133" Type="http://schemas.openxmlformats.org/officeDocument/2006/relationships/queryTable" Target="../queryTables/queryTable738.xml"/><Relationship Id="rId154" Type="http://schemas.openxmlformats.org/officeDocument/2006/relationships/queryTable" Target="../queryTables/queryTable759.xml"/><Relationship Id="rId175" Type="http://schemas.openxmlformats.org/officeDocument/2006/relationships/queryTable" Target="../queryTables/queryTable780.xml"/><Relationship Id="rId340" Type="http://schemas.openxmlformats.org/officeDocument/2006/relationships/queryTable" Target="../queryTables/queryTable945.xml"/><Relationship Id="rId361" Type="http://schemas.openxmlformats.org/officeDocument/2006/relationships/queryTable" Target="../queryTables/queryTable966.xml"/><Relationship Id="rId196" Type="http://schemas.openxmlformats.org/officeDocument/2006/relationships/queryTable" Target="../queryTables/queryTable801.xml"/><Relationship Id="rId200" Type="http://schemas.openxmlformats.org/officeDocument/2006/relationships/queryTable" Target="../queryTables/queryTable805.xml"/><Relationship Id="rId382" Type="http://schemas.openxmlformats.org/officeDocument/2006/relationships/queryTable" Target="../queryTables/queryTable987.xml"/><Relationship Id="rId417" Type="http://schemas.openxmlformats.org/officeDocument/2006/relationships/queryTable" Target="../queryTables/queryTable1022.xml"/><Relationship Id="rId438" Type="http://schemas.openxmlformats.org/officeDocument/2006/relationships/queryTable" Target="../queryTables/queryTable1043.xml"/><Relationship Id="rId16" Type="http://schemas.openxmlformats.org/officeDocument/2006/relationships/queryTable" Target="../queryTables/queryTable621.xml"/><Relationship Id="rId221" Type="http://schemas.openxmlformats.org/officeDocument/2006/relationships/queryTable" Target="../queryTables/queryTable826.xml"/><Relationship Id="rId242" Type="http://schemas.openxmlformats.org/officeDocument/2006/relationships/queryTable" Target="../queryTables/queryTable847.xml"/><Relationship Id="rId263" Type="http://schemas.openxmlformats.org/officeDocument/2006/relationships/queryTable" Target="../queryTables/queryTable868.xml"/><Relationship Id="rId284" Type="http://schemas.openxmlformats.org/officeDocument/2006/relationships/queryTable" Target="../queryTables/queryTable889.xml"/><Relationship Id="rId319" Type="http://schemas.openxmlformats.org/officeDocument/2006/relationships/queryTable" Target="../queryTables/queryTable924.xml"/><Relationship Id="rId37" Type="http://schemas.openxmlformats.org/officeDocument/2006/relationships/queryTable" Target="../queryTables/queryTable642.xml"/><Relationship Id="rId58" Type="http://schemas.openxmlformats.org/officeDocument/2006/relationships/queryTable" Target="../queryTables/queryTable663.xml"/><Relationship Id="rId79" Type="http://schemas.openxmlformats.org/officeDocument/2006/relationships/queryTable" Target="../queryTables/queryTable684.xml"/><Relationship Id="rId102" Type="http://schemas.openxmlformats.org/officeDocument/2006/relationships/queryTable" Target="../queryTables/queryTable707.xml"/><Relationship Id="rId123" Type="http://schemas.openxmlformats.org/officeDocument/2006/relationships/queryTable" Target="../queryTables/queryTable728.xml"/><Relationship Id="rId144" Type="http://schemas.openxmlformats.org/officeDocument/2006/relationships/queryTable" Target="../queryTables/queryTable749.xml"/><Relationship Id="rId330" Type="http://schemas.openxmlformats.org/officeDocument/2006/relationships/queryTable" Target="../queryTables/queryTable935.xml"/><Relationship Id="rId90" Type="http://schemas.openxmlformats.org/officeDocument/2006/relationships/queryTable" Target="../queryTables/queryTable695.xml"/><Relationship Id="rId165" Type="http://schemas.openxmlformats.org/officeDocument/2006/relationships/queryTable" Target="../queryTables/queryTable770.xml"/><Relationship Id="rId186" Type="http://schemas.openxmlformats.org/officeDocument/2006/relationships/queryTable" Target="../queryTables/queryTable791.xml"/><Relationship Id="rId351" Type="http://schemas.openxmlformats.org/officeDocument/2006/relationships/queryTable" Target="../queryTables/queryTable956.xml"/><Relationship Id="rId372" Type="http://schemas.openxmlformats.org/officeDocument/2006/relationships/queryTable" Target="../queryTables/queryTable977.xml"/><Relationship Id="rId393" Type="http://schemas.openxmlformats.org/officeDocument/2006/relationships/queryTable" Target="../queryTables/queryTable998.xml"/><Relationship Id="rId407" Type="http://schemas.openxmlformats.org/officeDocument/2006/relationships/queryTable" Target="../queryTables/queryTable1012.xml"/><Relationship Id="rId428" Type="http://schemas.openxmlformats.org/officeDocument/2006/relationships/queryTable" Target="../queryTables/queryTable1033.xml"/><Relationship Id="rId211" Type="http://schemas.openxmlformats.org/officeDocument/2006/relationships/queryTable" Target="../queryTables/queryTable816.xml"/><Relationship Id="rId232" Type="http://schemas.openxmlformats.org/officeDocument/2006/relationships/queryTable" Target="../queryTables/queryTable837.xml"/><Relationship Id="rId253" Type="http://schemas.openxmlformats.org/officeDocument/2006/relationships/queryTable" Target="../queryTables/queryTable858.xml"/><Relationship Id="rId274" Type="http://schemas.openxmlformats.org/officeDocument/2006/relationships/queryTable" Target="../queryTables/queryTable879.xml"/><Relationship Id="rId295" Type="http://schemas.openxmlformats.org/officeDocument/2006/relationships/queryTable" Target="../queryTables/queryTable900.xml"/><Relationship Id="rId309" Type="http://schemas.openxmlformats.org/officeDocument/2006/relationships/queryTable" Target="../queryTables/queryTable914.xml"/><Relationship Id="rId27" Type="http://schemas.openxmlformats.org/officeDocument/2006/relationships/queryTable" Target="../queryTables/queryTable632.xml"/><Relationship Id="rId48" Type="http://schemas.openxmlformats.org/officeDocument/2006/relationships/queryTable" Target="../queryTables/queryTable653.xml"/><Relationship Id="rId69" Type="http://schemas.openxmlformats.org/officeDocument/2006/relationships/queryTable" Target="../queryTables/queryTable674.xml"/><Relationship Id="rId113" Type="http://schemas.openxmlformats.org/officeDocument/2006/relationships/queryTable" Target="../queryTables/queryTable718.xml"/><Relationship Id="rId134" Type="http://schemas.openxmlformats.org/officeDocument/2006/relationships/queryTable" Target="../queryTables/queryTable739.xml"/><Relationship Id="rId320" Type="http://schemas.openxmlformats.org/officeDocument/2006/relationships/queryTable" Target="../queryTables/queryTable925.xml"/><Relationship Id="rId80" Type="http://schemas.openxmlformats.org/officeDocument/2006/relationships/queryTable" Target="../queryTables/queryTable685.xml"/><Relationship Id="rId155" Type="http://schemas.openxmlformats.org/officeDocument/2006/relationships/queryTable" Target="../queryTables/queryTable760.xml"/><Relationship Id="rId176" Type="http://schemas.openxmlformats.org/officeDocument/2006/relationships/queryTable" Target="../queryTables/queryTable781.xml"/><Relationship Id="rId197" Type="http://schemas.openxmlformats.org/officeDocument/2006/relationships/queryTable" Target="../queryTables/queryTable802.xml"/><Relationship Id="rId341" Type="http://schemas.openxmlformats.org/officeDocument/2006/relationships/queryTable" Target="../queryTables/queryTable946.xml"/><Relationship Id="rId362" Type="http://schemas.openxmlformats.org/officeDocument/2006/relationships/queryTable" Target="../queryTables/queryTable967.xml"/><Relationship Id="rId383" Type="http://schemas.openxmlformats.org/officeDocument/2006/relationships/queryTable" Target="../queryTables/queryTable988.xml"/><Relationship Id="rId418" Type="http://schemas.openxmlformats.org/officeDocument/2006/relationships/queryTable" Target="../queryTables/queryTable1023.xml"/><Relationship Id="rId439" Type="http://schemas.openxmlformats.org/officeDocument/2006/relationships/queryTable" Target="../queryTables/queryTable1044.xml"/><Relationship Id="rId201" Type="http://schemas.openxmlformats.org/officeDocument/2006/relationships/queryTable" Target="../queryTables/queryTable806.xml"/><Relationship Id="rId222" Type="http://schemas.openxmlformats.org/officeDocument/2006/relationships/queryTable" Target="../queryTables/queryTable827.xml"/><Relationship Id="rId243" Type="http://schemas.openxmlformats.org/officeDocument/2006/relationships/queryTable" Target="../queryTables/queryTable848.xml"/><Relationship Id="rId264" Type="http://schemas.openxmlformats.org/officeDocument/2006/relationships/queryTable" Target="../queryTables/queryTable869.xml"/><Relationship Id="rId285" Type="http://schemas.openxmlformats.org/officeDocument/2006/relationships/queryTable" Target="../queryTables/queryTable890.xml"/><Relationship Id="rId17" Type="http://schemas.openxmlformats.org/officeDocument/2006/relationships/queryTable" Target="../queryTables/queryTable622.xml"/><Relationship Id="rId38" Type="http://schemas.openxmlformats.org/officeDocument/2006/relationships/queryTable" Target="../queryTables/queryTable643.xml"/><Relationship Id="rId59" Type="http://schemas.openxmlformats.org/officeDocument/2006/relationships/queryTable" Target="../queryTables/queryTable664.xml"/><Relationship Id="rId103" Type="http://schemas.openxmlformats.org/officeDocument/2006/relationships/queryTable" Target="../queryTables/queryTable708.xml"/><Relationship Id="rId124" Type="http://schemas.openxmlformats.org/officeDocument/2006/relationships/queryTable" Target="../queryTables/queryTable729.xml"/><Relationship Id="rId310" Type="http://schemas.openxmlformats.org/officeDocument/2006/relationships/queryTable" Target="../queryTables/queryTable915.xml"/><Relationship Id="rId70" Type="http://schemas.openxmlformats.org/officeDocument/2006/relationships/queryTable" Target="../queryTables/queryTable675.xml"/><Relationship Id="rId91" Type="http://schemas.openxmlformats.org/officeDocument/2006/relationships/queryTable" Target="../queryTables/queryTable696.xml"/><Relationship Id="rId145" Type="http://schemas.openxmlformats.org/officeDocument/2006/relationships/queryTable" Target="../queryTables/queryTable750.xml"/><Relationship Id="rId166" Type="http://schemas.openxmlformats.org/officeDocument/2006/relationships/queryTable" Target="../queryTables/queryTable771.xml"/><Relationship Id="rId187" Type="http://schemas.openxmlformats.org/officeDocument/2006/relationships/queryTable" Target="../queryTables/queryTable792.xml"/><Relationship Id="rId331" Type="http://schemas.openxmlformats.org/officeDocument/2006/relationships/queryTable" Target="../queryTables/queryTable936.xml"/><Relationship Id="rId352" Type="http://schemas.openxmlformats.org/officeDocument/2006/relationships/queryTable" Target="../queryTables/queryTable957.xml"/><Relationship Id="rId373" Type="http://schemas.openxmlformats.org/officeDocument/2006/relationships/queryTable" Target="../queryTables/queryTable978.xml"/><Relationship Id="rId394" Type="http://schemas.openxmlformats.org/officeDocument/2006/relationships/queryTable" Target="../queryTables/queryTable999.xml"/><Relationship Id="rId408" Type="http://schemas.openxmlformats.org/officeDocument/2006/relationships/queryTable" Target="../queryTables/queryTable1013.xml"/><Relationship Id="rId429" Type="http://schemas.openxmlformats.org/officeDocument/2006/relationships/queryTable" Target="../queryTables/queryTable1034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17.xml"/><Relationship Id="rId233" Type="http://schemas.openxmlformats.org/officeDocument/2006/relationships/queryTable" Target="../queryTables/queryTable838.xml"/><Relationship Id="rId254" Type="http://schemas.openxmlformats.org/officeDocument/2006/relationships/queryTable" Target="../queryTables/queryTable859.xml"/><Relationship Id="rId440" Type="http://schemas.openxmlformats.org/officeDocument/2006/relationships/queryTable" Target="../queryTables/queryTable1045.xml"/><Relationship Id="rId28" Type="http://schemas.openxmlformats.org/officeDocument/2006/relationships/queryTable" Target="../queryTables/queryTable633.xml"/><Relationship Id="rId49" Type="http://schemas.openxmlformats.org/officeDocument/2006/relationships/queryTable" Target="../queryTables/queryTable654.xml"/><Relationship Id="rId114" Type="http://schemas.openxmlformats.org/officeDocument/2006/relationships/queryTable" Target="../queryTables/queryTable719.xml"/><Relationship Id="rId275" Type="http://schemas.openxmlformats.org/officeDocument/2006/relationships/queryTable" Target="../queryTables/queryTable880.xml"/><Relationship Id="rId296" Type="http://schemas.openxmlformats.org/officeDocument/2006/relationships/queryTable" Target="../queryTables/queryTable901.xml"/><Relationship Id="rId300" Type="http://schemas.openxmlformats.org/officeDocument/2006/relationships/queryTable" Target="../queryTables/queryTable905.xml"/><Relationship Id="rId60" Type="http://schemas.openxmlformats.org/officeDocument/2006/relationships/queryTable" Target="../queryTables/queryTable665.xml"/><Relationship Id="rId81" Type="http://schemas.openxmlformats.org/officeDocument/2006/relationships/queryTable" Target="../queryTables/queryTable686.xml"/><Relationship Id="rId135" Type="http://schemas.openxmlformats.org/officeDocument/2006/relationships/queryTable" Target="../queryTables/queryTable740.xml"/><Relationship Id="rId156" Type="http://schemas.openxmlformats.org/officeDocument/2006/relationships/queryTable" Target="../queryTables/queryTable761.xml"/><Relationship Id="rId177" Type="http://schemas.openxmlformats.org/officeDocument/2006/relationships/queryTable" Target="../queryTables/queryTable782.xml"/><Relationship Id="rId198" Type="http://schemas.openxmlformats.org/officeDocument/2006/relationships/queryTable" Target="../queryTables/queryTable803.xml"/><Relationship Id="rId321" Type="http://schemas.openxmlformats.org/officeDocument/2006/relationships/queryTable" Target="../queryTables/queryTable926.xml"/><Relationship Id="rId342" Type="http://schemas.openxmlformats.org/officeDocument/2006/relationships/queryTable" Target="../queryTables/queryTable947.xml"/><Relationship Id="rId363" Type="http://schemas.openxmlformats.org/officeDocument/2006/relationships/queryTable" Target="../queryTables/queryTable968.xml"/><Relationship Id="rId384" Type="http://schemas.openxmlformats.org/officeDocument/2006/relationships/queryTable" Target="../queryTables/queryTable989.xml"/><Relationship Id="rId419" Type="http://schemas.openxmlformats.org/officeDocument/2006/relationships/queryTable" Target="../queryTables/queryTable1024.xml"/><Relationship Id="rId202" Type="http://schemas.openxmlformats.org/officeDocument/2006/relationships/queryTable" Target="../queryTables/queryTable807.xml"/><Relationship Id="rId223" Type="http://schemas.openxmlformats.org/officeDocument/2006/relationships/queryTable" Target="../queryTables/queryTable828.xml"/><Relationship Id="rId244" Type="http://schemas.openxmlformats.org/officeDocument/2006/relationships/queryTable" Target="../queryTables/queryTable849.xml"/><Relationship Id="rId430" Type="http://schemas.openxmlformats.org/officeDocument/2006/relationships/queryTable" Target="../queryTables/queryTable1035.xml"/><Relationship Id="rId18" Type="http://schemas.openxmlformats.org/officeDocument/2006/relationships/queryTable" Target="../queryTables/queryTable623.xml"/><Relationship Id="rId39" Type="http://schemas.openxmlformats.org/officeDocument/2006/relationships/queryTable" Target="../queryTables/queryTable644.xml"/><Relationship Id="rId265" Type="http://schemas.openxmlformats.org/officeDocument/2006/relationships/queryTable" Target="../queryTables/queryTable870.xml"/><Relationship Id="rId286" Type="http://schemas.openxmlformats.org/officeDocument/2006/relationships/queryTable" Target="../queryTables/queryTable891.xml"/><Relationship Id="rId50" Type="http://schemas.openxmlformats.org/officeDocument/2006/relationships/queryTable" Target="../queryTables/queryTable655.xml"/><Relationship Id="rId104" Type="http://schemas.openxmlformats.org/officeDocument/2006/relationships/queryTable" Target="../queryTables/queryTable709.xml"/><Relationship Id="rId125" Type="http://schemas.openxmlformats.org/officeDocument/2006/relationships/queryTable" Target="../queryTables/queryTable730.xml"/><Relationship Id="rId146" Type="http://schemas.openxmlformats.org/officeDocument/2006/relationships/queryTable" Target="../queryTables/queryTable751.xml"/><Relationship Id="rId167" Type="http://schemas.openxmlformats.org/officeDocument/2006/relationships/queryTable" Target="../queryTables/queryTable772.xml"/><Relationship Id="rId188" Type="http://schemas.openxmlformats.org/officeDocument/2006/relationships/queryTable" Target="../queryTables/queryTable793.xml"/><Relationship Id="rId311" Type="http://schemas.openxmlformats.org/officeDocument/2006/relationships/queryTable" Target="../queryTables/queryTable916.xml"/><Relationship Id="rId332" Type="http://schemas.openxmlformats.org/officeDocument/2006/relationships/queryTable" Target="../queryTables/queryTable937.xml"/><Relationship Id="rId353" Type="http://schemas.openxmlformats.org/officeDocument/2006/relationships/queryTable" Target="../queryTables/queryTable958.xml"/><Relationship Id="rId374" Type="http://schemas.openxmlformats.org/officeDocument/2006/relationships/queryTable" Target="../queryTables/queryTable979.xml"/><Relationship Id="rId395" Type="http://schemas.openxmlformats.org/officeDocument/2006/relationships/queryTable" Target="../queryTables/queryTable1000.xml"/><Relationship Id="rId409" Type="http://schemas.openxmlformats.org/officeDocument/2006/relationships/queryTable" Target="../queryTables/queryTable1014.xml"/><Relationship Id="rId71" Type="http://schemas.openxmlformats.org/officeDocument/2006/relationships/queryTable" Target="../queryTables/queryTable676.xml"/><Relationship Id="rId92" Type="http://schemas.openxmlformats.org/officeDocument/2006/relationships/queryTable" Target="../queryTables/queryTable697.xml"/><Relationship Id="rId213" Type="http://schemas.openxmlformats.org/officeDocument/2006/relationships/queryTable" Target="../queryTables/queryTable818.xml"/><Relationship Id="rId234" Type="http://schemas.openxmlformats.org/officeDocument/2006/relationships/queryTable" Target="../queryTables/queryTable839.xml"/><Relationship Id="rId420" Type="http://schemas.openxmlformats.org/officeDocument/2006/relationships/queryTable" Target="../queryTables/queryTable1025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34.xml"/><Relationship Id="rId255" Type="http://schemas.openxmlformats.org/officeDocument/2006/relationships/queryTable" Target="../queryTables/queryTable860.xml"/><Relationship Id="rId276" Type="http://schemas.openxmlformats.org/officeDocument/2006/relationships/queryTable" Target="../queryTables/queryTable881.xml"/><Relationship Id="rId297" Type="http://schemas.openxmlformats.org/officeDocument/2006/relationships/queryTable" Target="../queryTables/queryTable902.xml"/><Relationship Id="rId441" Type="http://schemas.openxmlformats.org/officeDocument/2006/relationships/queryTable" Target="../queryTables/queryTable1046.xml"/><Relationship Id="rId40" Type="http://schemas.openxmlformats.org/officeDocument/2006/relationships/queryTable" Target="../queryTables/queryTable645.xml"/><Relationship Id="rId115" Type="http://schemas.openxmlformats.org/officeDocument/2006/relationships/queryTable" Target="../queryTables/queryTable720.xml"/><Relationship Id="rId136" Type="http://schemas.openxmlformats.org/officeDocument/2006/relationships/queryTable" Target="../queryTables/queryTable741.xml"/><Relationship Id="rId157" Type="http://schemas.openxmlformats.org/officeDocument/2006/relationships/queryTable" Target="../queryTables/queryTable762.xml"/><Relationship Id="rId178" Type="http://schemas.openxmlformats.org/officeDocument/2006/relationships/queryTable" Target="../queryTables/queryTable783.xml"/><Relationship Id="rId301" Type="http://schemas.openxmlformats.org/officeDocument/2006/relationships/queryTable" Target="../queryTables/queryTable906.xml"/><Relationship Id="rId322" Type="http://schemas.openxmlformats.org/officeDocument/2006/relationships/queryTable" Target="../queryTables/queryTable927.xml"/><Relationship Id="rId343" Type="http://schemas.openxmlformats.org/officeDocument/2006/relationships/queryTable" Target="../queryTables/queryTable948.xml"/><Relationship Id="rId364" Type="http://schemas.openxmlformats.org/officeDocument/2006/relationships/queryTable" Target="../queryTables/queryTable969.xml"/><Relationship Id="rId61" Type="http://schemas.openxmlformats.org/officeDocument/2006/relationships/queryTable" Target="../queryTables/queryTable666.xml"/><Relationship Id="rId82" Type="http://schemas.openxmlformats.org/officeDocument/2006/relationships/queryTable" Target="../queryTables/queryTable687.xml"/><Relationship Id="rId199" Type="http://schemas.openxmlformats.org/officeDocument/2006/relationships/queryTable" Target="../queryTables/queryTable804.xml"/><Relationship Id="rId203" Type="http://schemas.openxmlformats.org/officeDocument/2006/relationships/queryTable" Target="../queryTables/queryTable808.xml"/><Relationship Id="rId385" Type="http://schemas.openxmlformats.org/officeDocument/2006/relationships/queryTable" Target="../queryTables/queryTable990.xml"/><Relationship Id="rId19" Type="http://schemas.openxmlformats.org/officeDocument/2006/relationships/queryTable" Target="../queryTables/queryTable624.xml"/><Relationship Id="rId224" Type="http://schemas.openxmlformats.org/officeDocument/2006/relationships/queryTable" Target="../queryTables/queryTable829.xml"/><Relationship Id="rId245" Type="http://schemas.openxmlformats.org/officeDocument/2006/relationships/queryTable" Target="../queryTables/queryTable850.xml"/><Relationship Id="rId266" Type="http://schemas.openxmlformats.org/officeDocument/2006/relationships/queryTable" Target="../queryTables/queryTable871.xml"/><Relationship Id="rId287" Type="http://schemas.openxmlformats.org/officeDocument/2006/relationships/queryTable" Target="../queryTables/queryTable892.xml"/><Relationship Id="rId410" Type="http://schemas.openxmlformats.org/officeDocument/2006/relationships/queryTable" Target="../queryTables/queryTable1015.xml"/><Relationship Id="rId431" Type="http://schemas.openxmlformats.org/officeDocument/2006/relationships/queryTable" Target="../queryTables/queryTable1036.xml"/><Relationship Id="rId30" Type="http://schemas.openxmlformats.org/officeDocument/2006/relationships/queryTable" Target="../queryTables/queryTable635.xml"/><Relationship Id="rId105" Type="http://schemas.openxmlformats.org/officeDocument/2006/relationships/queryTable" Target="../queryTables/queryTable710.xml"/><Relationship Id="rId126" Type="http://schemas.openxmlformats.org/officeDocument/2006/relationships/queryTable" Target="../queryTables/queryTable731.xml"/><Relationship Id="rId147" Type="http://schemas.openxmlformats.org/officeDocument/2006/relationships/queryTable" Target="../queryTables/queryTable752.xml"/><Relationship Id="rId168" Type="http://schemas.openxmlformats.org/officeDocument/2006/relationships/queryTable" Target="../queryTables/queryTable773.xml"/><Relationship Id="rId312" Type="http://schemas.openxmlformats.org/officeDocument/2006/relationships/queryTable" Target="../queryTables/queryTable917.xml"/><Relationship Id="rId333" Type="http://schemas.openxmlformats.org/officeDocument/2006/relationships/queryTable" Target="../queryTables/queryTable938.xml"/><Relationship Id="rId354" Type="http://schemas.openxmlformats.org/officeDocument/2006/relationships/queryTable" Target="../queryTables/queryTable959.xml"/><Relationship Id="rId51" Type="http://schemas.openxmlformats.org/officeDocument/2006/relationships/queryTable" Target="../queryTables/queryTable656.xml"/><Relationship Id="rId72" Type="http://schemas.openxmlformats.org/officeDocument/2006/relationships/queryTable" Target="../queryTables/queryTable677.xml"/><Relationship Id="rId93" Type="http://schemas.openxmlformats.org/officeDocument/2006/relationships/queryTable" Target="../queryTables/queryTable698.xml"/><Relationship Id="rId189" Type="http://schemas.openxmlformats.org/officeDocument/2006/relationships/queryTable" Target="../queryTables/queryTable794.xml"/><Relationship Id="rId375" Type="http://schemas.openxmlformats.org/officeDocument/2006/relationships/queryTable" Target="../queryTables/queryTable980.xml"/><Relationship Id="rId396" Type="http://schemas.openxmlformats.org/officeDocument/2006/relationships/queryTable" Target="../queryTables/queryTable1001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19.xml"/><Relationship Id="rId235" Type="http://schemas.openxmlformats.org/officeDocument/2006/relationships/queryTable" Target="../queryTables/queryTable840.xml"/><Relationship Id="rId256" Type="http://schemas.openxmlformats.org/officeDocument/2006/relationships/queryTable" Target="../queryTables/queryTable861.xml"/><Relationship Id="rId277" Type="http://schemas.openxmlformats.org/officeDocument/2006/relationships/queryTable" Target="../queryTables/queryTable882.xml"/><Relationship Id="rId298" Type="http://schemas.openxmlformats.org/officeDocument/2006/relationships/queryTable" Target="../queryTables/queryTable903.xml"/><Relationship Id="rId400" Type="http://schemas.openxmlformats.org/officeDocument/2006/relationships/queryTable" Target="../queryTables/queryTable1005.xml"/><Relationship Id="rId421" Type="http://schemas.openxmlformats.org/officeDocument/2006/relationships/queryTable" Target="../queryTables/queryTable1026.xml"/><Relationship Id="rId442" Type="http://schemas.openxmlformats.org/officeDocument/2006/relationships/queryTable" Target="../queryTables/queryTable1047.xml"/><Relationship Id="rId116" Type="http://schemas.openxmlformats.org/officeDocument/2006/relationships/queryTable" Target="../queryTables/queryTable721.xml"/><Relationship Id="rId137" Type="http://schemas.openxmlformats.org/officeDocument/2006/relationships/queryTable" Target="../queryTables/queryTable742.xml"/><Relationship Id="rId158" Type="http://schemas.openxmlformats.org/officeDocument/2006/relationships/queryTable" Target="../queryTables/queryTable763.xml"/><Relationship Id="rId302" Type="http://schemas.openxmlformats.org/officeDocument/2006/relationships/queryTable" Target="../queryTables/queryTable907.xml"/><Relationship Id="rId323" Type="http://schemas.openxmlformats.org/officeDocument/2006/relationships/queryTable" Target="../queryTables/queryTable928.xml"/><Relationship Id="rId344" Type="http://schemas.openxmlformats.org/officeDocument/2006/relationships/queryTable" Target="../queryTables/queryTable949.xml"/><Relationship Id="rId20" Type="http://schemas.openxmlformats.org/officeDocument/2006/relationships/queryTable" Target="../queryTables/queryTable625.xml"/><Relationship Id="rId41" Type="http://schemas.openxmlformats.org/officeDocument/2006/relationships/queryTable" Target="../queryTables/queryTable646.xml"/><Relationship Id="rId62" Type="http://schemas.openxmlformats.org/officeDocument/2006/relationships/queryTable" Target="../queryTables/queryTable667.xml"/><Relationship Id="rId83" Type="http://schemas.openxmlformats.org/officeDocument/2006/relationships/queryTable" Target="../queryTables/queryTable688.xml"/><Relationship Id="rId179" Type="http://schemas.openxmlformats.org/officeDocument/2006/relationships/queryTable" Target="../queryTables/queryTable784.xml"/><Relationship Id="rId365" Type="http://schemas.openxmlformats.org/officeDocument/2006/relationships/queryTable" Target="../queryTables/queryTable970.xml"/><Relationship Id="rId386" Type="http://schemas.openxmlformats.org/officeDocument/2006/relationships/queryTable" Target="../queryTables/queryTable991.xml"/><Relationship Id="rId190" Type="http://schemas.openxmlformats.org/officeDocument/2006/relationships/queryTable" Target="../queryTables/queryTable795.xml"/><Relationship Id="rId204" Type="http://schemas.openxmlformats.org/officeDocument/2006/relationships/queryTable" Target="../queryTables/queryTable809.xml"/><Relationship Id="rId225" Type="http://schemas.openxmlformats.org/officeDocument/2006/relationships/queryTable" Target="../queryTables/queryTable830.xml"/><Relationship Id="rId246" Type="http://schemas.openxmlformats.org/officeDocument/2006/relationships/queryTable" Target="../queryTables/queryTable851.xml"/><Relationship Id="rId267" Type="http://schemas.openxmlformats.org/officeDocument/2006/relationships/queryTable" Target="../queryTables/queryTable872.xml"/><Relationship Id="rId288" Type="http://schemas.openxmlformats.org/officeDocument/2006/relationships/queryTable" Target="../queryTables/queryTable893.xml"/><Relationship Id="rId411" Type="http://schemas.openxmlformats.org/officeDocument/2006/relationships/queryTable" Target="../queryTables/queryTable1016.xml"/><Relationship Id="rId432" Type="http://schemas.openxmlformats.org/officeDocument/2006/relationships/queryTable" Target="../queryTables/queryTable1037.xml"/><Relationship Id="rId106" Type="http://schemas.openxmlformats.org/officeDocument/2006/relationships/queryTable" Target="../queryTables/queryTable711.xml"/><Relationship Id="rId127" Type="http://schemas.openxmlformats.org/officeDocument/2006/relationships/queryTable" Target="../queryTables/queryTable732.xml"/><Relationship Id="rId313" Type="http://schemas.openxmlformats.org/officeDocument/2006/relationships/queryTable" Target="../queryTables/queryTable918.xml"/><Relationship Id="rId10" Type="http://schemas.openxmlformats.org/officeDocument/2006/relationships/queryTable" Target="../queryTables/queryTable615.xml"/><Relationship Id="rId31" Type="http://schemas.openxmlformats.org/officeDocument/2006/relationships/queryTable" Target="../queryTables/queryTable636.xml"/><Relationship Id="rId52" Type="http://schemas.openxmlformats.org/officeDocument/2006/relationships/queryTable" Target="../queryTables/queryTable657.xml"/><Relationship Id="rId73" Type="http://schemas.openxmlformats.org/officeDocument/2006/relationships/queryTable" Target="../queryTables/queryTable678.xml"/><Relationship Id="rId94" Type="http://schemas.openxmlformats.org/officeDocument/2006/relationships/queryTable" Target="../queryTables/queryTable699.xml"/><Relationship Id="rId148" Type="http://schemas.openxmlformats.org/officeDocument/2006/relationships/queryTable" Target="../queryTables/queryTable753.xml"/><Relationship Id="rId169" Type="http://schemas.openxmlformats.org/officeDocument/2006/relationships/queryTable" Target="../queryTables/queryTable774.xml"/><Relationship Id="rId334" Type="http://schemas.openxmlformats.org/officeDocument/2006/relationships/queryTable" Target="../queryTables/queryTable939.xml"/><Relationship Id="rId355" Type="http://schemas.openxmlformats.org/officeDocument/2006/relationships/queryTable" Target="../queryTables/queryTable960.xml"/><Relationship Id="rId376" Type="http://schemas.openxmlformats.org/officeDocument/2006/relationships/queryTable" Target="../queryTables/queryTable981.xml"/><Relationship Id="rId397" Type="http://schemas.openxmlformats.org/officeDocument/2006/relationships/queryTable" Target="../queryTables/queryTable1002.xml"/><Relationship Id="rId4" Type="http://schemas.openxmlformats.org/officeDocument/2006/relationships/queryTable" Target="../queryTables/queryTable609.xml"/><Relationship Id="rId180" Type="http://schemas.openxmlformats.org/officeDocument/2006/relationships/queryTable" Target="../queryTables/queryTable785.xml"/><Relationship Id="rId215" Type="http://schemas.openxmlformats.org/officeDocument/2006/relationships/queryTable" Target="../queryTables/queryTable820.xml"/><Relationship Id="rId236" Type="http://schemas.openxmlformats.org/officeDocument/2006/relationships/queryTable" Target="../queryTables/queryTable841.xml"/><Relationship Id="rId257" Type="http://schemas.openxmlformats.org/officeDocument/2006/relationships/queryTable" Target="../queryTables/queryTable862.xml"/><Relationship Id="rId278" Type="http://schemas.openxmlformats.org/officeDocument/2006/relationships/queryTable" Target="../queryTables/queryTable883.xml"/><Relationship Id="rId401" Type="http://schemas.openxmlformats.org/officeDocument/2006/relationships/queryTable" Target="../queryTables/queryTable1006.xml"/><Relationship Id="rId422" Type="http://schemas.openxmlformats.org/officeDocument/2006/relationships/queryTable" Target="../queryTables/queryTable1027.xml"/><Relationship Id="rId443" Type="http://schemas.openxmlformats.org/officeDocument/2006/relationships/queryTable" Target="../queryTables/queryTable1048.xml"/><Relationship Id="rId303" Type="http://schemas.openxmlformats.org/officeDocument/2006/relationships/queryTable" Target="../queryTables/queryTable908.xml"/><Relationship Id="rId42" Type="http://schemas.openxmlformats.org/officeDocument/2006/relationships/queryTable" Target="../queryTables/queryTable647.xml"/><Relationship Id="rId84" Type="http://schemas.openxmlformats.org/officeDocument/2006/relationships/queryTable" Target="../queryTables/queryTable689.xml"/><Relationship Id="rId138" Type="http://schemas.openxmlformats.org/officeDocument/2006/relationships/queryTable" Target="../queryTables/queryTable743.xml"/><Relationship Id="rId345" Type="http://schemas.openxmlformats.org/officeDocument/2006/relationships/queryTable" Target="../queryTables/queryTable950.xml"/><Relationship Id="rId387" Type="http://schemas.openxmlformats.org/officeDocument/2006/relationships/queryTable" Target="../queryTables/queryTable992.xml"/><Relationship Id="rId191" Type="http://schemas.openxmlformats.org/officeDocument/2006/relationships/queryTable" Target="../queryTables/queryTable796.xml"/><Relationship Id="rId205" Type="http://schemas.openxmlformats.org/officeDocument/2006/relationships/queryTable" Target="../queryTables/queryTable810.xml"/><Relationship Id="rId247" Type="http://schemas.openxmlformats.org/officeDocument/2006/relationships/queryTable" Target="../queryTables/queryTable852.xml"/><Relationship Id="rId412" Type="http://schemas.openxmlformats.org/officeDocument/2006/relationships/queryTable" Target="../queryTables/queryTable1017.xml"/><Relationship Id="rId107" Type="http://schemas.openxmlformats.org/officeDocument/2006/relationships/queryTable" Target="../queryTables/queryTable712.xml"/><Relationship Id="rId289" Type="http://schemas.openxmlformats.org/officeDocument/2006/relationships/queryTable" Target="../queryTables/queryTable894.xml"/><Relationship Id="rId11" Type="http://schemas.openxmlformats.org/officeDocument/2006/relationships/queryTable" Target="../queryTables/queryTable616.xml"/><Relationship Id="rId53" Type="http://schemas.openxmlformats.org/officeDocument/2006/relationships/queryTable" Target="../queryTables/queryTable658.xml"/><Relationship Id="rId149" Type="http://schemas.openxmlformats.org/officeDocument/2006/relationships/queryTable" Target="../queryTables/queryTable754.xml"/><Relationship Id="rId314" Type="http://schemas.openxmlformats.org/officeDocument/2006/relationships/queryTable" Target="../queryTables/queryTable919.xml"/><Relationship Id="rId356" Type="http://schemas.openxmlformats.org/officeDocument/2006/relationships/queryTable" Target="../queryTables/queryTable961.xml"/><Relationship Id="rId398" Type="http://schemas.openxmlformats.org/officeDocument/2006/relationships/queryTable" Target="../queryTables/queryTable1003.xml"/><Relationship Id="rId95" Type="http://schemas.openxmlformats.org/officeDocument/2006/relationships/queryTable" Target="../queryTables/queryTable700.xml"/><Relationship Id="rId160" Type="http://schemas.openxmlformats.org/officeDocument/2006/relationships/queryTable" Target="../queryTables/queryTable765.xml"/><Relationship Id="rId216" Type="http://schemas.openxmlformats.org/officeDocument/2006/relationships/queryTable" Target="../queryTables/queryTable821.xml"/><Relationship Id="rId423" Type="http://schemas.openxmlformats.org/officeDocument/2006/relationships/queryTable" Target="../queryTables/queryTable1028.xml"/><Relationship Id="rId258" Type="http://schemas.openxmlformats.org/officeDocument/2006/relationships/queryTable" Target="../queryTables/queryTable863.xml"/><Relationship Id="rId22" Type="http://schemas.openxmlformats.org/officeDocument/2006/relationships/queryTable" Target="../queryTables/queryTable627.xml"/><Relationship Id="rId64" Type="http://schemas.openxmlformats.org/officeDocument/2006/relationships/queryTable" Target="../queryTables/queryTable669.xml"/><Relationship Id="rId118" Type="http://schemas.openxmlformats.org/officeDocument/2006/relationships/queryTable" Target="../queryTables/queryTable723.xml"/><Relationship Id="rId325" Type="http://schemas.openxmlformats.org/officeDocument/2006/relationships/queryTable" Target="../queryTables/queryTable930.xml"/><Relationship Id="rId367" Type="http://schemas.openxmlformats.org/officeDocument/2006/relationships/queryTable" Target="../queryTables/queryTable972.xml"/><Relationship Id="rId171" Type="http://schemas.openxmlformats.org/officeDocument/2006/relationships/queryTable" Target="../queryTables/queryTable776.xml"/><Relationship Id="rId227" Type="http://schemas.openxmlformats.org/officeDocument/2006/relationships/queryTable" Target="../queryTables/queryTable832.xml"/><Relationship Id="rId269" Type="http://schemas.openxmlformats.org/officeDocument/2006/relationships/queryTable" Target="../queryTables/queryTable874.xml"/><Relationship Id="rId434" Type="http://schemas.openxmlformats.org/officeDocument/2006/relationships/queryTable" Target="../queryTables/queryTable1039.xml"/><Relationship Id="rId33" Type="http://schemas.openxmlformats.org/officeDocument/2006/relationships/queryTable" Target="../queryTables/queryTable638.xml"/><Relationship Id="rId129" Type="http://schemas.openxmlformats.org/officeDocument/2006/relationships/queryTable" Target="../queryTables/queryTable734.xml"/><Relationship Id="rId280" Type="http://schemas.openxmlformats.org/officeDocument/2006/relationships/queryTable" Target="../queryTables/queryTable885.xml"/><Relationship Id="rId336" Type="http://schemas.openxmlformats.org/officeDocument/2006/relationships/queryTable" Target="../queryTables/queryTable94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6.xml"/><Relationship Id="rId299" Type="http://schemas.openxmlformats.org/officeDocument/2006/relationships/queryTable" Target="../queryTables/queryTable1348.xml"/><Relationship Id="rId21" Type="http://schemas.openxmlformats.org/officeDocument/2006/relationships/queryTable" Target="../queryTables/queryTable1070.xml"/><Relationship Id="rId63" Type="http://schemas.openxmlformats.org/officeDocument/2006/relationships/queryTable" Target="../queryTables/queryTable1112.xml"/><Relationship Id="rId159" Type="http://schemas.openxmlformats.org/officeDocument/2006/relationships/queryTable" Target="../queryTables/queryTable1208.xml"/><Relationship Id="rId324" Type="http://schemas.openxmlformats.org/officeDocument/2006/relationships/queryTable" Target="../queryTables/queryTable1373.xml"/><Relationship Id="rId366" Type="http://schemas.openxmlformats.org/officeDocument/2006/relationships/queryTable" Target="../queryTables/queryTable1415.xml"/><Relationship Id="rId170" Type="http://schemas.openxmlformats.org/officeDocument/2006/relationships/queryTable" Target="../queryTables/queryTable1219.xml"/><Relationship Id="rId226" Type="http://schemas.openxmlformats.org/officeDocument/2006/relationships/queryTable" Target="../queryTables/queryTable1275.xml"/><Relationship Id="rId433" Type="http://schemas.openxmlformats.org/officeDocument/2006/relationships/queryTable" Target="../queryTables/queryTable1482.xml"/><Relationship Id="rId268" Type="http://schemas.openxmlformats.org/officeDocument/2006/relationships/queryTable" Target="../queryTables/queryTable1317.xml"/><Relationship Id="rId475" Type="http://schemas.openxmlformats.org/officeDocument/2006/relationships/queryTable" Target="../queryTables/queryTable1524.xml"/><Relationship Id="rId32" Type="http://schemas.openxmlformats.org/officeDocument/2006/relationships/queryTable" Target="../queryTables/queryTable1081.xml"/><Relationship Id="rId74" Type="http://schemas.openxmlformats.org/officeDocument/2006/relationships/queryTable" Target="../queryTables/queryTable1123.xml"/><Relationship Id="rId128" Type="http://schemas.openxmlformats.org/officeDocument/2006/relationships/queryTable" Target="../queryTables/queryTable1177.xml"/><Relationship Id="rId335" Type="http://schemas.openxmlformats.org/officeDocument/2006/relationships/queryTable" Target="../queryTables/queryTable1384.xml"/><Relationship Id="rId377" Type="http://schemas.openxmlformats.org/officeDocument/2006/relationships/queryTable" Target="../queryTables/queryTable1426.xml"/><Relationship Id="rId500" Type="http://schemas.openxmlformats.org/officeDocument/2006/relationships/queryTable" Target="../queryTables/queryTable1549.xml"/><Relationship Id="rId5" Type="http://schemas.openxmlformats.org/officeDocument/2006/relationships/queryTable" Target="../queryTables/queryTable1054.xml"/><Relationship Id="rId181" Type="http://schemas.openxmlformats.org/officeDocument/2006/relationships/queryTable" Target="../queryTables/queryTable1230.xml"/><Relationship Id="rId237" Type="http://schemas.openxmlformats.org/officeDocument/2006/relationships/queryTable" Target="../queryTables/queryTable1286.xml"/><Relationship Id="rId402" Type="http://schemas.openxmlformats.org/officeDocument/2006/relationships/queryTable" Target="../queryTables/queryTable1451.xml"/><Relationship Id="rId279" Type="http://schemas.openxmlformats.org/officeDocument/2006/relationships/queryTable" Target="../queryTables/queryTable1328.xml"/><Relationship Id="rId444" Type="http://schemas.openxmlformats.org/officeDocument/2006/relationships/queryTable" Target="../queryTables/queryTable1493.xml"/><Relationship Id="rId486" Type="http://schemas.openxmlformats.org/officeDocument/2006/relationships/queryTable" Target="../queryTables/queryTable1535.xml"/><Relationship Id="rId43" Type="http://schemas.openxmlformats.org/officeDocument/2006/relationships/queryTable" Target="../queryTables/queryTable1092.xml"/><Relationship Id="rId139" Type="http://schemas.openxmlformats.org/officeDocument/2006/relationships/queryTable" Target="../queryTables/queryTable1188.xml"/><Relationship Id="rId290" Type="http://schemas.openxmlformats.org/officeDocument/2006/relationships/queryTable" Target="../queryTables/queryTable1339.xml"/><Relationship Id="rId304" Type="http://schemas.openxmlformats.org/officeDocument/2006/relationships/queryTable" Target="../queryTables/queryTable1353.xml"/><Relationship Id="rId346" Type="http://schemas.openxmlformats.org/officeDocument/2006/relationships/queryTable" Target="../queryTables/queryTable1395.xml"/><Relationship Id="rId388" Type="http://schemas.openxmlformats.org/officeDocument/2006/relationships/queryTable" Target="../queryTables/queryTable1437.xml"/><Relationship Id="rId511" Type="http://schemas.openxmlformats.org/officeDocument/2006/relationships/queryTable" Target="../queryTables/queryTable1560.xml"/><Relationship Id="rId85" Type="http://schemas.openxmlformats.org/officeDocument/2006/relationships/queryTable" Target="../queryTables/queryTable1134.xml"/><Relationship Id="rId150" Type="http://schemas.openxmlformats.org/officeDocument/2006/relationships/queryTable" Target="../queryTables/queryTable1199.xml"/><Relationship Id="rId192" Type="http://schemas.openxmlformats.org/officeDocument/2006/relationships/queryTable" Target="../queryTables/queryTable1241.xml"/><Relationship Id="rId206" Type="http://schemas.openxmlformats.org/officeDocument/2006/relationships/queryTable" Target="../queryTables/queryTable1255.xml"/><Relationship Id="rId413" Type="http://schemas.openxmlformats.org/officeDocument/2006/relationships/queryTable" Target="../queryTables/queryTable1462.xml"/><Relationship Id="rId248" Type="http://schemas.openxmlformats.org/officeDocument/2006/relationships/queryTable" Target="../queryTables/queryTable1297.xml"/><Relationship Id="rId455" Type="http://schemas.openxmlformats.org/officeDocument/2006/relationships/queryTable" Target="../queryTables/queryTable1504.xml"/><Relationship Id="rId497" Type="http://schemas.openxmlformats.org/officeDocument/2006/relationships/queryTable" Target="../queryTables/queryTable1546.xml"/><Relationship Id="rId12" Type="http://schemas.openxmlformats.org/officeDocument/2006/relationships/queryTable" Target="../queryTables/queryTable1061.xml"/><Relationship Id="rId108" Type="http://schemas.openxmlformats.org/officeDocument/2006/relationships/queryTable" Target="../queryTables/queryTable1157.xml"/><Relationship Id="rId315" Type="http://schemas.openxmlformats.org/officeDocument/2006/relationships/queryTable" Target="../queryTables/queryTable1364.xml"/><Relationship Id="rId357" Type="http://schemas.openxmlformats.org/officeDocument/2006/relationships/queryTable" Target="../queryTables/queryTable1406.xml"/><Relationship Id="rId54" Type="http://schemas.openxmlformats.org/officeDocument/2006/relationships/queryTable" Target="../queryTables/queryTable1103.xml"/><Relationship Id="rId96" Type="http://schemas.openxmlformats.org/officeDocument/2006/relationships/queryTable" Target="../queryTables/queryTable1145.xml"/><Relationship Id="rId161" Type="http://schemas.openxmlformats.org/officeDocument/2006/relationships/queryTable" Target="../queryTables/queryTable1210.xml"/><Relationship Id="rId217" Type="http://schemas.openxmlformats.org/officeDocument/2006/relationships/queryTable" Target="../queryTables/queryTable1266.xml"/><Relationship Id="rId399" Type="http://schemas.openxmlformats.org/officeDocument/2006/relationships/queryTable" Target="../queryTables/queryTable1448.xml"/><Relationship Id="rId259" Type="http://schemas.openxmlformats.org/officeDocument/2006/relationships/queryTable" Target="../queryTables/queryTable1308.xml"/><Relationship Id="rId424" Type="http://schemas.openxmlformats.org/officeDocument/2006/relationships/queryTable" Target="../queryTables/queryTable1473.xml"/><Relationship Id="rId466" Type="http://schemas.openxmlformats.org/officeDocument/2006/relationships/queryTable" Target="../queryTables/queryTable1515.xml"/><Relationship Id="rId23" Type="http://schemas.openxmlformats.org/officeDocument/2006/relationships/queryTable" Target="../queryTables/queryTable1072.xml"/><Relationship Id="rId119" Type="http://schemas.openxmlformats.org/officeDocument/2006/relationships/queryTable" Target="../queryTables/queryTable1168.xml"/><Relationship Id="rId270" Type="http://schemas.openxmlformats.org/officeDocument/2006/relationships/queryTable" Target="../queryTables/queryTable1319.xml"/><Relationship Id="rId326" Type="http://schemas.openxmlformats.org/officeDocument/2006/relationships/queryTable" Target="../queryTables/queryTable1375.xml"/><Relationship Id="rId65" Type="http://schemas.openxmlformats.org/officeDocument/2006/relationships/queryTable" Target="../queryTables/queryTable1114.xml"/><Relationship Id="rId130" Type="http://schemas.openxmlformats.org/officeDocument/2006/relationships/queryTable" Target="../queryTables/queryTable1179.xml"/><Relationship Id="rId368" Type="http://schemas.openxmlformats.org/officeDocument/2006/relationships/queryTable" Target="../queryTables/queryTable1417.xml"/><Relationship Id="rId172" Type="http://schemas.openxmlformats.org/officeDocument/2006/relationships/queryTable" Target="../queryTables/queryTable1221.xml"/><Relationship Id="rId228" Type="http://schemas.openxmlformats.org/officeDocument/2006/relationships/queryTable" Target="../queryTables/queryTable1277.xml"/><Relationship Id="rId435" Type="http://schemas.openxmlformats.org/officeDocument/2006/relationships/queryTable" Target="../queryTables/queryTable1484.xml"/><Relationship Id="rId477" Type="http://schemas.openxmlformats.org/officeDocument/2006/relationships/queryTable" Target="../queryTables/queryTable1526.xml"/><Relationship Id="rId281" Type="http://schemas.openxmlformats.org/officeDocument/2006/relationships/queryTable" Target="../queryTables/queryTable1330.xml"/><Relationship Id="rId337" Type="http://schemas.openxmlformats.org/officeDocument/2006/relationships/queryTable" Target="../queryTables/queryTable1386.xml"/><Relationship Id="rId502" Type="http://schemas.openxmlformats.org/officeDocument/2006/relationships/queryTable" Target="../queryTables/queryTable1551.xml"/><Relationship Id="rId34" Type="http://schemas.openxmlformats.org/officeDocument/2006/relationships/queryTable" Target="../queryTables/queryTable1083.xml"/><Relationship Id="rId76" Type="http://schemas.openxmlformats.org/officeDocument/2006/relationships/queryTable" Target="../queryTables/queryTable1125.xml"/><Relationship Id="rId141" Type="http://schemas.openxmlformats.org/officeDocument/2006/relationships/queryTable" Target="../queryTables/queryTable1190.xml"/><Relationship Id="rId379" Type="http://schemas.openxmlformats.org/officeDocument/2006/relationships/queryTable" Target="../queryTables/queryTable1428.xml"/><Relationship Id="rId7" Type="http://schemas.openxmlformats.org/officeDocument/2006/relationships/queryTable" Target="../queryTables/queryTable1056.xml"/><Relationship Id="rId183" Type="http://schemas.openxmlformats.org/officeDocument/2006/relationships/queryTable" Target="../queryTables/queryTable1232.xml"/><Relationship Id="rId239" Type="http://schemas.openxmlformats.org/officeDocument/2006/relationships/queryTable" Target="../queryTables/queryTable1288.xml"/><Relationship Id="rId390" Type="http://schemas.openxmlformats.org/officeDocument/2006/relationships/queryTable" Target="../queryTables/queryTable1439.xml"/><Relationship Id="rId404" Type="http://schemas.openxmlformats.org/officeDocument/2006/relationships/queryTable" Target="../queryTables/queryTable1453.xml"/><Relationship Id="rId446" Type="http://schemas.openxmlformats.org/officeDocument/2006/relationships/queryTable" Target="../queryTables/queryTable1495.xml"/><Relationship Id="rId250" Type="http://schemas.openxmlformats.org/officeDocument/2006/relationships/queryTable" Target="../queryTables/queryTable1299.xml"/><Relationship Id="rId292" Type="http://schemas.openxmlformats.org/officeDocument/2006/relationships/queryTable" Target="../queryTables/queryTable1341.xml"/><Relationship Id="rId306" Type="http://schemas.openxmlformats.org/officeDocument/2006/relationships/queryTable" Target="../queryTables/queryTable1355.xml"/><Relationship Id="rId488" Type="http://schemas.openxmlformats.org/officeDocument/2006/relationships/queryTable" Target="../queryTables/queryTable1537.xml"/><Relationship Id="rId45" Type="http://schemas.openxmlformats.org/officeDocument/2006/relationships/queryTable" Target="../queryTables/queryTable1094.xml"/><Relationship Id="rId87" Type="http://schemas.openxmlformats.org/officeDocument/2006/relationships/queryTable" Target="../queryTables/queryTable1136.xml"/><Relationship Id="rId110" Type="http://schemas.openxmlformats.org/officeDocument/2006/relationships/queryTable" Target="../queryTables/queryTable1159.xml"/><Relationship Id="rId348" Type="http://schemas.openxmlformats.org/officeDocument/2006/relationships/queryTable" Target="../queryTables/queryTable1397.xml"/><Relationship Id="rId513" Type="http://schemas.openxmlformats.org/officeDocument/2006/relationships/queryTable" Target="../queryTables/queryTable1562.xml"/><Relationship Id="rId152" Type="http://schemas.openxmlformats.org/officeDocument/2006/relationships/queryTable" Target="../queryTables/queryTable1201.xml"/><Relationship Id="rId194" Type="http://schemas.openxmlformats.org/officeDocument/2006/relationships/queryTable" Target="../queryTables/queryTable1243.xml"/><Relationship Id="rId208" Type="http://schemas.openxmlformats.org/officeDocument/2006/relationships/queryTable" Target="../queryTables/queryTable1257.xml"/><Relationship Id="rId415" Type="http://schemas.openxmlformats.org/officeDocument/2006/relationships/queryTable" Target="../queryTables/queryTable1464.xml"/><Relationship Id="rId457" Type="http://schemas.openxmlformats.org/officeDocument/2006/relationships/queryTable" Target="../queryTables/queryTable1506.xml"/><Relationship Id="rId240" Type="http://schemas.openxmlformats.org/officeDocument/2006/relationships/queryTable" Target="../queryTables/queryTable1289.xml"/><Relationship Id="rId261" Type="http://schemas.openxmlformats.org/officeDocument/2006/relationships/queryTable" Target="../queryTables/queryTable1310.xml"/><Relationship Id="rId478" Type="http://schemas.openxmlformats.org/officeDocument/2006/relationships/queryTable" Target="../queryTables/queryTable1527.xml"/><Relationship Id="rId499" Type="http://schemas.openxmlformats.org/officeDocument/2006/relationships/queryTable" Target="../queryTables/queryTable1548.xml"/><Relationship Id="rId14" Type="http://schemas.openxmlformats.org/officeDocument/2006/relationships/queryTable" Target="../queryTables/queryTable1063.xml"/><Relationship Id="rId35" Type="http://schemas.openxmlformats.org/officeDocument/2006/relationships/queryTable" Target="../queryTables/queryTable1084.xml"/><Relationship Id="rId56" Type="http://schemas.openxmlformats.org/officeDocument/2006/relationships/queryTable" Target="../queryTables/queryTable1105.xml"/><Relationship Id="rId77" Type="http://schemas.openxmlformats.org/officeDocument/2006/relationships/queryTable" Target="../queryTables/queryTable1126.xml"/><Relationship Id="rId100" Type="http://schemas.openxmlformats.org/officeDocument/2006/relationships/queryTable" Target="../queryTables/queryTable1149.xml"/><Relationship Id="rId282" Type="http://schemas.openxmlformats.org/officeDocument/2006/relationships/queryTable" Target="../queryTables/queryTable1331.xml"/><Relationship Id="rId317" Type="http://schemas.openxmlformats.org/officeDocument/2006/relationships/queryTable" Target="../queryTables/queryTable1366.xml"/><Relationship Id="rId338" Type="http://schemas.openxmlformats.org/officeDocument/2006/relationships/queryTable" Target="../queryTables/queryTable1387.xml"/><Relationship Id="rId359" Type="http://schemas.openxmlformats.org/officeDocument/2006/relationships/queryTable" Target="../queryTables/queryTable1408.xml"/><Relationship Id="rId503" Type="http://schemas.openxmlformats.org/officeDocument/2006/relationships/queryTable" Target="../queryTables/queryTable1552.xml"/><Relationship Id="rId8" Type="http://schemas.openxmlformats.org/officeDocument/2006/relationships/queryTable" Target="../queryTables/queryTable1057.xml"/><Relationship Id="rId98" Type="http://schemas.openxmlformats.org/officeDocument/2006/relationships/queryTable" Target="../queryTables/queryTable1147.xml"/><Relationship Id="rId121" Type="http://schemas.openxmlformats.org/officeDocument/2006/relationships/queryTable" Target="../queryTables/queryTable1170.xml"/><Relationship Id="rId142" Type="http://schemas.openxmlformats.org/officeDocument/2006/relationships/queryTable" Target="../queryTables/queryTable1191.xml"/><Relationship Id="rId163" Type="http://schemas.openxmlformats.org/officeDocument/2006/relationships/queryTable" Target="../queryTables/queryTable1212.xml"/><Relationship Id="rId184" Type="http://schemas.openxmlformats.org/officeDocument/2006/relationships/queryTable" Target="../queryTables/queryTable1233.xml"/><Relationship Id="rId219" Type="http://schemas.openxmlformats.org/officeDocument/2006/relationships/queryTable" Target="../queryTables/queryTable1268.xml"/><Relationship Id="rId370" Type="http://schemas.openxmlformats.org/officeDocument/2006/relationships/queryTable" Target="../queryTables/queryTable1419.xml"/><Relationship Id="rId391" Type="http://schemas.openxmlformats.org/officeDocument/2006/relationships/queryTable" Target="../queryTables/queryTable1440.xml"/><Relationship Id="rId405" Type="http://schemas.openxmlformats.org/officeDocument/2006/relationships/queryTable" Target="../queryTables/queryTable1454.xml"/><Relationship Id="rId426" Type="http://schemas.openxmlformats.org/officeDocument/2006/relationships/queryTable" Target="../queryTables/queryTable1475.xml"/><Relationship Id="rId447" Type="http://schemas.openxmlformats.org/officeDocument/2006/relationships/queryTable" Target="../queryTables/queryTable1496.xml"/><Relationship Id="rId230" Type="http://schemas.openxmlformats.org/officeDocument/2006/relationships/queryTable" Target="../queryTables/queryTable1279.xml"/><Relationship Id="rId251" Type="http://schemas.openxmlformats.org/officeDocument/2006/relationships/queryTable" Target="../queryTables/queryTable1300.xml"/><Relationship Id="rId468" Type="http://schemas.openxmlformats.org/officeDocument/2006/relationships/queryTable" Target="../queryTables/queryTable1517.xml"/><Relationship Id="rId489" Type="http://schemas.openxmlformats.org/officeDocument/2006/relationships/queryTable" Target="../queryTables/queryTable1538.xml"/><Relationship Id="rId25" Type="http://schemas.openxmlformats.org/officeDocument/2006/relationships/queryTable" Target="../queryTables/queryTable1074.xml"/><Relationship Id="rId46" Type="http://schemas.openxmlformats.org/officeDocument/2006/relationships/queryTable" Target="../queryTables/queryTable1095.xml"/><Relationship Id="rId67" Type="http://schemas.openxmlformats.org/officeDocument/2006/relationships/queryTable" Target="../queryTables/queryTable1116.xml"/><Relationship Id="rId272" Type="http://schemas.openxmlformats.org/officeDocument/2006/relationships/queryTable" Target="../queryTables/queryTable1321.xml"/><Relationship Id="rId293" Type="http://schemas.openxmlformats.org/officeDocument/2006/relationships/queryTable" Target="../queryTables/queryTable1342.xml"/><Relationship Id="rId307" Type="http://schemas.openxmlformats.org/officeDocument/2006/relationships/queryTable" Target="../queryTables/queryTable1356.xml"/><Relationship Id="rId328" Type="http://schemas.openxmlformats.org/officeDocument/2006/relationships/queryTable" Target="../queryTables/queryTable1377.xml"/><Relationship Id="rId349" Type="http://schemas.openxmlformats.org/officeDocument/2006/relationships/queryTable" Target="../queryTables/queryTable1398.xml"/><Relationship Id="rId514" Type="http://schemas.openxmlformats.org/officeDocument/2006/relationships/queryTable" Target="../queryTables/queryTable1563.xml"/><Relationship Id="rId88" Type="http://schemas.openxmlformats.org/officeDocument/2006/relationships/queryTable" Target="../queryTables/queryTable1137.xml"/><Relationship Id="rId111" Type="http://schemas.openxmlformats.org/officeDocument/2006/relationships/queryTable" Target="../queryTables/queryTable1160.xml"/><Relationship Id="rId132" Type="http://schemas.openxmlformats.org/officeDocument/2006/relationships/queryTable" Target="../queryTables/queryTable1181.xml"/><Relationship Id="rId153" Type="http://schemas.openxmlformats.org/officeDocument/2006/relationships/queryTable" Target="../queryTables/queryTable1202.xml"/><Relationship Id="rId174" Type="http://schemas.openxmlformats.org/officeDocument/2006/relationships/queryTable" Target="../queryTables/queryTable1223.xml"/><Relationship Id="rId195" Type="http://schemas.openxmlformats.org/officeDocument/2006/relationships/queryTable" Target="../queryTables/queryTable1244.xml"/><Relationship Id="rId209" Type="http://schemas.openxmlformats.org/officeDocument/2006/relationships/queryTable" Target="../queryTables/queryTable1258.xml"/><Relationship Id="rId360" Type="http://schemas.openxmlformats.org/officeDocument/2006/relationships/queryTable" Target="../queryTables/queryTable1409.xml"/><Relationship Id="rId381" Type="http://schemas.openxmlformats.org/officeDocument/2006/relationships/queryTable" Target="../queryTables/queryTable1430.xml"/><Relationship Id="rId416" Type="http://schemas.openxmlformats.org/officeDocument/2006/relationships/queryTable" Target="../queryTables/queryTable1465.xml"/><Relationship Id="rId220" Type="http://schemas.openxmlformats.org/officeDocument/2006/relationships/queryTable" Target="../queryTables/queryTable1269.xml"/><Relationship Id="rId241" Type="http://schemas.openxmlformats.org/officeDocument/2006/relationships/queryTable" Target="../queryTables/queryTable1290.xml"/><Relationship Id="rId437" Type="http://schemas.openxmlformats.org/officeDocument/2006/relationships/queryTable" Target="../queryTables/queryTable1486.xml"/><Relationship Id="rId458" Type="http://schemas.openxmlformats.org/officeDocument/2006/relationships/queryTable" Target="../queryTables/queryTable1507.xml"/><Relationship Id="rId479" Type="http://schemas.openxmlformats.org/officeDocument/2006/relationships/queryTable" Target="../queryTables/queryTable1528.xml"/><Relationship Id="rId15" Type="http://schemas.openxmlformats.org/officeDocument/2006/relationships/queryTable" Target="../queryTables/queryTable1064.xml"/><Relationship Id="rId36" Type="http://schemas.openxmlformats.org/officeDocument/2006/relationships/queryTable" Target="../queryTables/queryTable1085.xml"/><Relationship Id="rId57" Type="http://schemas.openxmlformats.org/officeDocument/2006/relationships/queryTable" Target="../queryTables/queryTable1106.xml"/><Relationship Id="rId262" Type="http://schemas.openxmlformats.org/officeDocument/2006/relationships/queryTable" Target="../queryTables/queryTable1311.xml"/><Relationship Id="rId283" Type="http://schemas.openxmlformats.org/officeDocument/2006/relationships/queryTable" Target="../queryTables/queryTable1332.xml"/><Relationship Id="rId318" Type="http://schemas.openxmlformats.org/officeDocument/2006/relationships/queryTable" Target="../queryTables/queryTable1367.xml"/><Relationship Id="rId339" Type="http://schemas.openxmlformats.org/officeDocument/2006/relationships/queryTable" Target="../queryTables/queryTable1388.xml"/><Relationship Id="rId490" Type="http://schemas.openxmlformats.org/officeDocument/2006/relationships/queryTable" Target="../queryTables/queryTable1539.xml"/><Relationship Id="rId504" Type="http://schemas.openxmlformats.org/officeDocument/2006/relationships/queryTable" Target="../queryTables/queryTable1553.xml"/><Relationship Id="rId78" Type="http://schemas.openxmlformats.org/officeDocument/2006/relationships/queryTable" Target="../queryTables/queryTable1127.xml"/><Relationship Id="rId99" Type="http://schemas.openxmlformats.org/officeDocument/2006/relationships/queryTable" Target="../queryTables/queryTable1148.xml"/><Relationship Id="rId101" Type="http://schemas.openxmlformats.org/officeDocument/2006/relationships/queryTable" Target="../queryTables/queryTable1150.xml"/><Relationship Id="rId122" Type="http://schemas.openxmlformats.org/officeDocument/2006/relationships/queryTable" Target="../queryTables/queryTable1171.xml"/><Relationship Id="rId143" Type="http://schemas.openxmlformats.org/officeDocument/2006/relationships/queryTable" Target="../queryTables/queryTable1192.xml"/><Relationship Id="rId164" Type="http://schemas.openxmlformats.org/officeDocument/2006/relationships/queryTable" Target="../queryTables/queryTable1213.xml"/><Relationship Id="rId185" Type="http://schemas.openxmlformats.org/officeDocument/2006/relationships/queryTable" Target="../queryTables/queryTable1234.xml"/><Relationship Id="rId350" Type="http://schemas.openxmlformats.org/officeDocument/2006/relationships/queryTable" Target="../queryTables/queryTable1399.xml"/><Relationship Id="rId371" Type="http://schemas.openxmlformats.org/officeDocument/2006/relationships/queryTable" Target="../queryTables/queryTable1420.xml"/><Relationship Id="rId406" Type="http://schemas.openxmlformats.org/officeDocument/2006/relationships/queryTable" Target="../queryTables/queryTable1455.xml"/><Relationship Id="rId9" Type="http://schemas.openxmlformats.org/officeDocument/2006/relationships/queryTable" Target="../queryTables/queryTable1058.xml"/><Relationship Id="rId210" Type="http://schemas.openxmlformats.org/officeDocument/2006/relationships/queryTable" Target="../queryTables/queryTable1259.xml"/><Relationship Id="rId392" Type="http://schemas.openxmlformats.org/officeDocument/2006/relationships/queryTable" Target="../queryTables/queryTable1441.xml"/><Relationship Id="rId427" Type="http://schemas.openxmlformats.org/officeDocument/2006/relationships/queryTable" Target="../queryTables/queryTable1476.xml"/><Relationship Id="rId448" Type="http://schemas.openxmlformats.org/officeDocument/2006/relationships/queryTable" Target="../queryTables/queryTable1497.xml"/><Relationship Id="rId469" Type="http://schemas.openxmlformats.org/officeDocument/2006/relationships/queryTable" Target="../queryTables/queryTable1518.xml"/><Relationship Id="rId26" Type="http://schemas.openxmlformats.org/officeDocument/2006/relationships/queryTable" Target="../queryTables/queryTable1075.xml"/><Relationship Id="rId231" Type="http://schemas.openxmlformats.org/officeDocument/2006/relationships/queryTable" Target="../queryTables/queryTable1280.xml"/><Relationship Id="rId252" Type="http://schemas.openxmlformats.org/officeDocument/2006/relationships/queryTable" Target="../queryTables/queryTable1301.xml"/><Relationship Id="rId273" Type="http://schemas.openxmlformats.org/officeDocument/2006/relationships/queryTable" Target="../queryTables/queryTable1322.xml"/><Relationship Id="rId294" Type="http://schemas.openxmlformats.org/officeDocument/2006/relationships/queryTable" Target="../queryTables/queryTable1343.xml"/><Relationship Id="rId308" Type="http://schemas.openxmlformats.org/officeDocument/2006/relationships/queryTable" Target="../queryTables/queryTable1357.xml"/><Relationship Id="rId329" Type="http://schemas.openxmlformats.org/officeDocument/2006/relationships/queryTable" Target="../queryTables/queryTable1378.xml"/><Relationship Id="rId480" Type="http://schemas.openxmlformats.org/officeDocument/2006/relationships/queryTable" Target="../queryTables/queryTable1529.xml"/><Relationship Id="rId515" Type="http://schemas.openxmlformats.org/officeDocument/2006/relationships/queryTable" Target="../queryTables/queryTable1564.xml"/><Relationship Id="rId47" Type="http://schemas.openxmlformats.org/officeDocument/2006/relationships/queryTable" Target="../queryTables/queryTable1096.xml"/><Relationship Id="rId68" Type="http://schemas.openxmlformats.org/officeDocument/2006/relationships/queryTable" Target="../queryTables/queryTable1117.xml"/><Relationship Id="rId89" Type="http://schemas.openxmlformats.org/officeDocument/2006/relationships/queryTable" Target="../queryTables/queryTable1138.xml"/><Relationship Id="rId112" Type="http://schemas.openxmlformats.org/officeDocument/2006/relationships/queryTable" Target="../queryTables/queryTable1161.xml"/><Relationship Id="rId133" Type="http://schemas.openxmlformats.org/officeDocument/2006/relationships/queryTable" Target="../queryTables/queryTable1182.xml"/><Relationship Id="rId154" Type="http://schemas.openxmlformats.org/officeDocument/2006/relationships/queryTable" Target="../queryTables/queryTable1203.xml"/><Relationship Id="rId175" Type="http://schemas.openxmlformats.org/officeDocument/2006/relationships/queryTable" Target="../queryTables/queryTable1224.xml"/><Relationship Id="rId340" Type="http://schemas.openxmlformats.org/officeDocument/2006/relationships/queryTable" Target="../queryTables/queryTable1389.xml"/><Relationship Id="rId361" Type="http://schemas.openxmlformats.org/officeDocument/2006/relationships/queryTable" Target="../queryTables/queryTable1410.xml"/><Relationship Id="rId196" Type="http://schemas.openxmlformats.org/officeDocument/2006/relationships/queryTable" Target="../queryTables/queryTable1245.xml"/><Relationship Id="rId200" Type="http://schemas.openxmlformats.org/officeDocument/2006/relationships/queryTable" Target="../queryTables/queryTable1249.xml"/><Relationship Id="rId382" Type="http://schemas.openxmlformats.org/officeDocument/2006/relationships/queryTable" Target="../queryTables/queryTable1431.xml"/><Relationship Id="rId417" Type="http://schemas.openxmlformats.org/officeDocument/2006/relationships/queryTable" Target="../queryTables/queryTable1466.xml"/><Relationship Id="rId438" Type="http://schemas.openxmlformats.org/officeDocument/2006/relationships/queryTable" Target="../queryTables/queryTable1487.xml"/><Relationship Id="rId459" Type="http://schemas.openxmlformats.org/officeDocument/2006/relationships/queryTable" Target="../queryTables/queryTable1508.xml"/><Relationship Id="rId16" Type="http://schemas.openxmlformats.org/officeDocument/2006/relationships/queryTable" Target="../queryTables/queryTable1065.xml"/><Relationship Id="rId221" Type="http://schemas.openxmlformats.org/officeDocument/2006/relationships/queryTable" Target="../queryTables/queryTable1270.xml"/><Relationship Id="rId242" Type="http://schemas.openxmlformats.org/officeDocument/2006/relationships/queryTable" Target="../queryTables/queryTable1291.xml"/><Relationship Id="rId263" Type="http://schemas.openxmlformats.org/officeDocument/2006/relationships/queryTable" Target="../queryTables/queryTable1312.xml"/><Relationship Id="rId284" Type="http://schemas.openxmlformats.org/officeDocument/2006/relationships/queryTable" Target="../queryTables/queryTable1333.xml"/><Relationship Id="rId319" Type="http://schemas.openxmlformats.org/officeDocument/2006/relationships/queryTable" Target="../queryTables/queryTable1368.xml"/><Relationship Id="rId470" Type="http://schemas.openxmlformats.org/officeDocument/2006/relationships/queryTable" Target="../queryTables/queryTable1519.xml"/><Relationship Id="rId491" Type="http://schemas.openxmlformats.org/officeDocument/2006/relationships/queryTable" Target="../queryTables/queryTable1540.xml"/><Relationship Id="rId505" Type="http://schemas.openxmlformats.org/officeDocument/2006/relationships/queryTable" Target="../queryTables/queryTable1554.xml"/><Relationship Id="rId37" Type="http://schemas.openxmlformats.org/officeDocument/2006/relationships/queryTable" Target="../queryTables/queryTable1086.xml"/><Relationship Id="rId58" Type="http://schemas.openxmlformats.org/officeDocument/2006/relationships/queryTable" Target="../queryTables/queryTable1107.xml"/><Relationship Id="rId79" Type="http://schemas.openxmlformats.org/officeDocument/2006/relationships/queryTable" Target="../queryTables/queryTable1128.xml"/><Relationship Id="rId102" Type="http://schemas.openxmlformats.org/officeDocument/2006/relationships/queryTable" Target="../queryTables/queryTable1151.xml"/><Relationship Id="rId123" Type="http://schemas.openxmlformats.org/officeDocument/2006/relationships/queryTable" Target="../queryTables/queryTable1172.xml"/><Relationship Id="rId144" Type="http://schemas.openxmlformats.org/officeDocument/2006/relationships/queryTable" Target="../queryTables/queryTable1193.xml"/><Relationship Id="rId330" Type="http://schemas.openxmlformats.org/officeDocument/2006/relationships/queryTable" Target="../queryTables/queryTable1379.xml"/><Relationship Id="rId90" Type="http://schemas.openxmlformats.org/officeDocument/2006/relationships/queryTable" Target="../queryTables/queryTable1139.xml"/><Relationship Id="rId165" Type="http://schemas.openxmlformats.org/officeDocument/2006/relationships/queryTable" Target="../queryTables/queryTable1214.xml"/><Relationship Id="rId186" Type="http://schemas.openxmlformats.org/officeDocument/2006/relationships/queryTable" Target="../queryTables/queryTable1235.xml"/><Relationship Id="rId351" Type="http://schemas.openxmlformats.org/officeDocument/2006/relationships/queryTable" Target="../queryTables/queryTable1400.xml"/><Relationship Id="rId372" Type="http://schemas.openxmlformats.org/officeDocument/2006/relationships/queryTable" Target="../queryTables/queryTable1421.xml"/><Relationship Id="rId393" Type="http://schemas.openxmlformats.org/officeDocument/2006/relationships/queryTable" Target="../queryTables/queryTable1442.xml"/><Relationship Id="rId407" Type="http://schemas.openxmlformats.org/officeDocument/2006/relationships/queryTable" Target="../queryTables/queryTable1456.xml"/><Relationship Id="rId428" Type="http://schemas.openxmlformats.org/officeDocument/2006/relationships/queryTable" Target="../queryTables/queryTable1477.xml"/><Relationship Id="rId449" Type="http://schemas.openxmlformats.org/officeDocument/2006/relationships/queryTable" Target="../queryTables/queryTable1498.xml"/><Relationship Id="rId211" Type="http://schemas.openxmlformats.org/officeDocument/2006/relationships/queryTable" Target="../queryTables/queryTable1260.xml"/><Relationship Id="rId232" Type="http://schemas.openxmlformats.org/officeDocument/2006/relationships/queryTable" Target="../queryTables/queryTable1281.xml"/><Relationship Id="rId253" Type="http://schemas.openxmlformats.org/officeDocument/2006/relationships/queryTable" Target="../queryTables/queryTable1302.xml"/><Relationship Id="rId274" Type="http://schemas.openxmlformats.org/officeDocument/2006/relationships/queryTable" Target="../queryTables/queryTable1323.xml"/><Relationship Id="rId295" Type="http://schemas.openxmlformats.org/officeDocument/2006/relationships/queryTable" Target="../queryTables/queryTable1344.xml"/><Relationship Id="rId309" Type="http://schemas.openxmlformats.org/officeDocument/2006/relationships/queryTable" Target="../queryTables/queryTable1358.xml"/><Relationship Id="rId460" Type="http://schemas.openxmlformats.org/officeDocument/2006/relationships/queryTable" Target="../queryTables/queryTable1509.xml"/><Relationship Id="rId481" Type="http://schemas.openxmlformats.org/officeDocument/2006/relationships/queryTable" Target="../queryTables/queryTable1530.xml"/><Relationship Id="rId516" Type="http://schemas.openxmlformats.org/officeDocument/2006/relationships/queryTable" Target="../queryTables/queryTable1565.xml"/><Relationship Id="rId27" Type="http://schemas.openxmlformats.org/officeDocument/2006/relationships/queryTable" Target="../queryTables/queryTable1076.xml"/><Relationship Id="rId48" Type="http://schemas.openxmlformats.org/officeDocument/2006/relationships/queryTable" Target="../queryTables/queryTable1097.xml"/><Relationship Id="rId69" Type="http://schemas.openxmlformats.org/officeDocument/2006/relationships/queryTable" Target="../queryTables/queryTable1118.xml"/><Relationship Id="rId113" Type="http://schemas.openxmlformats.org/officeDocument/2006/relationships/queryTable" Target="../queryTables/queryTable1162.xml"/><Relationship Id="rId134" Type="http://schemas.openxmlformats.org/officeDocument/2006/relationships/queryTable" Target="../queryTables/queryTable1183.xml"/><Relationship Id="rId320" Type="http://schemas.openxmlformats.org/officeDocument/2006/relationships/queryTable" Target="../queryTables/queryTable1369.xml"/><Relationship Id="rId80" Type="http://schemas.openxmlformats.org/officeDocument/2006/relationships/queryTable" Target="../queryTables/queryTable1129.xml"/><Relationship Id="rId155" Type="http://schemas.openxmlformats.org/officeDocument/2006/relationships/queryTable" Target="../queryTables/queryTable1204.xml"/><Relationship Id="rId176" Type="http://schemas.openxmlformats.org/officeDocument/2006/relationships/queryTable" Target="../queryTables/queryTable1225.xml"/><Relationship Id="rId197" Type="http://schemas.openxmlformats.org/officeDocument/2006/relationships/queryTable" Target="../queryTables/queryTable1246.xml"/><Relationship Id="rId341" Type="http://schemas.openxmlformats.org/officeDocument/2006/relationships/queryTable" Target="../queryTables/queryTable1390.xml"/><Relationship Id="rId362" Type="http://schemas.openxmlformats.org/officeDocument/2006/relationships/queryTable" Target="../queryTables/queryTable1411.xml"/><Relationship Id="rId383" Type="http://schemas.openxmlformats.org/officeDocument/2006/relationships/queryTable" Target="../queryTables/queryTable1432.xml"/><Relationship Id="rId418" Type="http://schemas.openxmlformats.org/officeDocument/2006/relationships/queryTable" Target="../queryTables/queryTable1467.xml"/><Relationship Id="rId439" Type="http://schemas.openxmlformats.org/officeDocument/2006/relationships/queryTable" Target="../queryTables/queryTable1488.xml"/><Relationship Id="rId201" Type="http://schemas.openxmlformats.org/officeDocument/2006/relationships/queryTable" Target="../queryTables/queryTable1250.xml"/><Relationship Id="rId222" Type="http://schemas.openxmlformats.org/officeDocument/2006/relationships/queryTable" Target="../queryTables/queryTable1271.xml"/><Relationship Id="rId243" Type="http://schemas.openxmlformats.org/officeDocument/2006/relationships/queryTable" Target="../queryTables/queryTable1292.xml"/><Relationship Id="rId264" Type="http://schemas.openxmlformats.org/officeDocument/2006/relationships/queryTable" Target="../queryTables/queryTable1313.xml"/><Relationship Id="rId285" Type="http://schemas.openxmlformats.org/officeDocument/2006/relationships/queryTable" Target="../queryTables/queryTable1334.xml"/><Relationship Id="rId450" Type="http://schemas.openxmlformats.org/officeDocument/2006/relationships/queryTable" Target="../queryTables/queryTable1499.xml"/><Relationship Id="rId471" Type="http://schemas.openxmlformats.org/officeDocument/2006/relationships/queryTable" Target="../queryTables/queryTable1520.xml"/><Relationship Id="rId506" Type="http://schemas.openxmlformats.org/officeDocument/2006/relationships/queryTable" Target="../queryTables/queryTable1555.xml"/><Relationship Id="rId17" Type="http://schemas.openxmlformats.org/officeDocument/2006/relationships/queryTable" Target="../queryTables/queryTable1066.xml"/><Relationship Id="rId38" Type="http://schemas.openxmlformats.org/officeDocument/2006/relationships/queryTable" Target="../queryTables/queryTable1087.xml"/><Relationship Id="rId59" Type="http://schemas.openxmlformats.org/officeDocument/2006/relationships/queryTable" Target="../queryTables/queryTable1108.xml"/><Relationship Id="rId103" Type="http://schemas.openxmlformats.org/officeDocument/2006/relationships/queryTable" Target="../queryTables/queryTable1152.xml"/><Relationship Id="rId124" Type="http://schemas.openxmlformats.org/officeDocument/2006/relationships/queryTable" Target="../queryTables/queryTable1173.xml"/><Relationship Id="rId310" Type="http://schemas.openxmlformats.org/officeDocument/2006/relationships/queryTable" Target="../queryTables/queryTable1359.xml"/><Relationship Id="rId492" Type="http://schemas.openxmlformats.org/officeDocument/2006/relationships/queryTable" Target="../queryTables/queryTable1541.xml"/><Relationship Id="rId70" Type="http://schemas.openxmlformats.org/officeDocument/2006/relationships/queryTable" Target="../queryTables/queryTable1119.xml"/><Relationship Id="rId91" Type="http://schemas.openxmlformats.org/officeDocument/2006/relationships/queryTable" Target="../queryTables/queryTable1140.xml"/><Relationship Id="rId145" Type="http://schemas.openxmlformats.org/officeDocument/2006/relationships/queryTable" Target="../queryTables/queryTable1194.xml"/><Relationship Id="rId166" Type="http://schemas.openxmlformats.org/officeDocument/2006/relationships/queryTable" Target="../queryTables/queryTable1215.xml"/><Relationship Id="rId187" Type="http://schemas.openxmlformats.org/officeDocument/2006/relationships/queryTable" Target="../queryTables/queryTable1236.xml"/><Relationship Id="rId331" Type="http://schemas.openxmlformats.org/officeDocument/2006/relationships/queryTable" Target="../queryTables/queryTable1380.xml"/><Relationship Id="rId352" Type="http://schemas.openxmlformats.org/officeDocument/2006/relationships/queryTable" Target="../queryTables/queryTable1401.xml"/><Relationship Id="rId373" Type="http://schemas.openxmlformats.org/officeDocument/2006/relationships/queryTable" Target="../queryTables/queryTable1422.xml"/><Relationship Id="rId394" Type="http://schemas.openxmlformats.org/officeDocument/2006/relationships/queryTable" Target="../queryTables/queryTable1443.xml"/><Relationship Id="rId408" Type="http://schemas.openxmlformats.org/officeDocument/2006/relationships/queryTable" Target="../queryTables/queryTable1457.xml"/><Relationship Id="rId429" Type="http://schemas.openxmlformats.org/officeDocument/2006/relationships/queryTable" Target="../queryTables/queryTable1478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61.xml"/><Relationship Id="rId233" Type="http://schemas.openxmlformats.org/officeDocument/2006/relationships/queryTable" Target="../queryTables/queryTable1282.xml"/><Relationship Id="rId254" Type="http://schemas.openxmlformats.org/officeDocument/2006/relationships/queryTable" Target="../queryTables/queryTable1303.xml"/><Relationship Id="rId440" Type="http://schemas.openxmlformats.org/officeDocument/2006/relationships/queryTable" Target="../queryTables/queryTable1489.xml"/><Relationship Id="rId28" Type="http://schemas.openxmlformats.org/officeDocument/2006/relationships/queryTable" Target="../queryTables/queryTable1077.xml"/><Relationship Id="rId49" Type="http://schemas.openxmlformats.org/officeDocument/2006/relationships/queryTable" Target="../queryTables/queryTable1098.xml"/><Relationship Id="rId114" Type="http://schemas.openxmlformats.org/officeDocument/2006/relationships/queryTable" Target="../queryTables/queryTable1163.xml"/><Relationship Id="rId275" Type="http://schemas.openxmlformats.org/officeDocument/2006/relationships/queryTable" Target="../queryTables/queryTable1324.xml"/><Relationship Id="rId296" Type="http://schemas.openxmlformats.org/officeDocument/2006/relationships/queryTable" Target="../queryTables/queryTable1345.xml"/><Relationship Id="rId300" Type="http://schemas.openxmlformats.org/officeDocument/2006/relationships/queryTable" Target="../queryTables/queryTable1349.xml"/><Relationship Id="rId461" Type="http://schemas.openxmlformats.org/officeDocument/2006/relationships/queryTable" Target="../queryTables/queryTable1510.xml"/><Relationship Id="rId482" Type="http://schemas.openxmlformats.org/officeDocument/2006/relationships/queryTable" Target="../queryTables/queryTable1531.xml"/><Relationship Id="rId60" Type="http://schemas.openxmlformats.org/officeDocument/2006/relationships/queryTable" Target="../queryTables/queryTable1109.xml"/><Relationship Id="rId81" Type="http://schemas.openxmlformats.org/officeDocument/2006/relationships/queryTable" Target="../queryTables/queryTable1130.xml"/><Relationship Id="rId135" Type="http://schemas.openxmlformats.org/officeDocument/2006/relationships/queryTable" Target="../queryTables/queryTable1184.xml"/><Relationship Id="rId156" Type="http://schemas.openxmlformats.org/officeDocument/2006/relationships/queryTable" Target="../queryTables/queryTable1205.xml"/><Relationship Id="rId177" Type="http://schemas.openxmlformats.org/officeDocument/2006/relationships/queryTable" Target="../queryTables/queryTable1226.xml"/><Relationship Id="rId198" Type="http://schemas.openxmlformats.org/officeDocument/2006/relationships/queryTable" Target="../queryTables/queryTable1247.xml"/><Relationship Id="rId321" Type="http://schemas.openxmlformats.org/officeDocument/2006/relationships/queryTable" Target="../queryTables/queryTable1370.xml"/><Relationship Id="rId342" Type="http://schemas.openxmlformats.org/officeDocument/2006/relationships/queryTable" Target="../queryTables/queryTable1391.xml"/><Relationship Id="rId363" Type="http://schemas.openxmlformats.org/officeDocument/2006/relationships/queryTable" Target="../queryTables/queryTable1412.xml"/><Relationship Id="rId384" Type="http://schemas.openxmlformats.org/officeDocument/2006/relationships/queryTable" Target="../queryTables/queryTable1433.xml"/><Relationship Id="rId419" Type="http://schemas.openxmlformats.org/officeDocument/2006/relationships/queryTable" Target="../queryTables/queryTable1468.xml"/><Relationship Id="rId202" Type="http://schemas.openxmlformats.org/officeDocument/2006/relationships/queryTable" Target="../queryTables/queryTable1251.xml"/><Relationship Id="rId223" Type="http://schemas.openxmlformats.org/officeDocument/2006/relationships/queryTable" Target="../queryTables/queryTable1272.xml"/><Relationship Id="rId244" Type="http://schemas.openxmlformats.org/officeDocument/2006/relationships/queryTable" Target="../queryTables/queryTable1293.xml"/><Relationship Id="rId430" Type="http://schemas.openxmlformats.org/officeDocument/2006/relationships/queryTable" Target="../queryTables/queryTable1479.xml"/><Relationship Id="rId18" Type="http://schemas.openxmlformats.org/officeDocument/2006/relationships/queryTable" Target="../queryTables/queryTable1067.xml"/><Relationship Id="rId39" Type="http://schemas.openxmlformats.org/officeDocument/2006/relationships/queryTable" Target="../queryTables/queryTable1088.xml"/><Relationship Id="rId265" Type="http://schemas.openxmlformats.org/officeDocument/2006/relationships/queryTable" Target="../queryTables/queryTable1314.xml"/><Relationship Id="rId286" Type="http://schemas.openxmlformats.org/officeDocument/2006/relationships/queryTable" Target="../queryTables/queryTable1335.xml"/><Relationship Id="rId451" Type="http://schemas.openxmlformats.org/officeDocument/2006/relationships/queryTable" Target="../queryTables/queryTable1500.xml"/><Relationship Id="rId472" Type="http://schemas.openxmlformats.org/officeDocument/2006/relationships/queryTable" Target="../queryTables/queryTable1521.xml"/><Relationship Id="rId493" Type="http://schemas.openxmlformats.org/officeDocument/2006/relationships/queryTable" Target="../queryTables/queryTable1542.xml"/><Relationship Id="rId507" Type="http://schemas.openxmlformats.org/officeDocument/2006/relationships/queryTable" Target="../queryTables/queryTable1556.xml"/><Relationship Id="rId50" Type="http://schemas.openxmlformats.org/officeDocument/2006/relationships/queryTable" Target="../queryTables/queryTable1099.xml"/><Relationship Id="rId104" Type="http://schemas.openxmlformats.org/officeDocument/2006/relationships/queryTable" Target="../queryTables/queryTable1153.xml"/><Relationship Id="rId125" Type="http://schemas.openxmlformats.org/officeDocument/2006/relationships/queryTable" Target="../queryTables/queryTable1174.xml"/><Relationship Id="rId146" Type="http://schemas.openxmlformats.org/officeDocument/2006/relationships/queryTable" Target="../queryTables/queryTable1195.xml"/><Relationship Id="rId167" Type="http://schemas.openxmlformats.org/officeDocument/2006/relationships/queryTable" Target="../queryTables/queryTable1216.xml"/><Relationship Id="rId188" Type="http://schemas.openxmlformats.org/officeDocument/2006/relationships/queryTable" Target="../queryTables/queryTable1237.xml"/><Relationship Id="rId311" Type="http://schemas.openxmlformats.org/officeDocument/2006/relationships/queryTable" Target="../queryTables/queryTable1360.xml"/><Relationship Id="rId332" Type="http://schemas.openxmlformats.org/officeDocument/2006/relationships/queryTable" Target="../queryTables/queryTable1381.xml"/><Relationship Id="rId353" Type="http://schemas.openxmlformats.org/officeDocument/2006/relationships/queryTable" Target="../queryTables/queryTable1402.xml"/><Relationship Id="rId374" Type="http://schemas.openxmlformats.org/officeDocument/2006/relationships/queryTable" Target="../queryTables/queryTable1423.xml"/><Relationship Id="rId395" Type="http://schemas.openxmlformats.org/officeDocument/2006/relationships/queryTable" Target="../queryTables/queryTable1444.xml"/><Relationship Id="rId409" Type="http://schemas.openxmlformats.org/officeDocument/2006/relationships/queryTable" Target="../queryTables/queryTable1458.xml"/><Relationship Id="rId71" Type="http://schemas.openxmlformats.org/officeDocument/2006/relationships/queryTable" Target="../queryTables/queryTable1120.xml"/><Relationship Id="rId92" Type="http://schemas.openxmlformats.org/officeDocument/2006/relationships/queryTable" Target="../queryTables/queryTable1141.xml"/><Relationship Id="rId213" Type="http://schemas.openxmlformats.org/officeDocument/2006/relationships/queryTable" Target="../queryTables/queryTable1262.xml"/><Relationship Id="rId234" Type="http://schemas.openxmlformats.org/officeDocument/2006/relationships/queryTable" Target="../queryTables/queryTable1283.xml"/><Relationship Id="rId420" Type="http://schemas.openxmlformats.org/officeDocument/2006/relationships/queryTable" Target="../queryTables/queryTable1469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78.xml"/><Relationship Id="rId255" Type="http://schemas.openxmlformats.org/officeDocument/2006/relationships/queryTable" Target="../queryTables/queryTable1304.xml"/><Relationship Id="rId276" Type="http://schemas.openxmlformats.org/officeDocument/2006/relationships/queryTable" Target="../queryTables/queryTable1325.xml"/><Relationship Id="rId297" Type="http://schemas.openxmlformats.org/officeDocument/2006/relationships/queryTable" Target="../queryTables/queryTable1346.xml"/><Relationship Id="rId441" Type="http://schemas.openxmlformats.org/officeDocument/2006/relationships/queryTable" Target="../queryTables/queryTable1490.xml"/><Relationship Id="rId462" Type="http://schemas.openxmlformats.org/officeDocument/2006/relationships/queryTable" Target="../queryTables/queryTable1511.xml"/><Relationship Id="rId483" Type="http://schemas.openxmlformats.org/officeDocument/2006/relationships/queryTable" Target="../queryTables/queryTable1532.xml"/><Relationship Id="rId40" Type="http://schemas.openxmlformats.org/officeDocument/2006/relationships/queryTable" Target="../queryTables/queryTable1089.xml"/><Relationship Id="rId115" Type="http://schemas.openxmlformats.org/officeDocument/2006/relationships/queryTable" Target="../queryTables/queryTable1164.xml"/><Relationship Id="rId136" Type="http://schemas.openxmlformats.org/officeDocument/2006/relationships/queryTable" Target="../queryTables/queryTable1185.xml"/><Relationship Id="rId157" Type="http://schemas.openxmlformats.org/officeDocument/2006/relationships/queryTable" Target="../queryTables/queryTable1206.xml"/><Relationship Id="rId178" Type="http://schemas.openxmlformats.org/officeDocument/2006/relationships/queryTable" Target="../queryTables/queryTable1227.xml"/><Relationship Id="rId301" Type="http://schemas.openxmlformats.org/officeDocument/2006/relationships/queryTable" Target="../queryTables/queryTable1350.xml"/><Relationship Id="rId322" Type="http://schemas.openxmlformats.org/officeDocument/2006/relationships/queryTable" Target="../queryTables/queryTable1371.xml"/><Relationship Id="rId343" Type="http://schemas.openxmlformats.org/officeDocument/2006/relationships/queryTable" Target="../queryTables/queryTable1392.xml"/><Relationship Id="rId364" Type="http://schemas.openxmlformats.org/officeDocument/2006/relationships/queryTable" Target="../queryTables/queryTable1413.xml"/><Relationship Id="rId61" Type="http://schemas.openxmlformats.org/officeDocument/2006/relationships/queryTable" Target="../queryTables/queryTable1110.xml"/><Relationship Id="rId82" Type="http://schemas.openxmlformats.org/officeDocument/2006/relationships/queryTable" Target="../queryTables/queryTable1131.xml"/><Relationship Id="rId199" Type="http://schemas.openxmlformats.org/officeDocument/2006/relationships/queryTable" Target="../queryTables/queryTable1248.xml"/><Relationship Id="rId203" Type="http://schemas.openxmlformats.org/officeDocument/2006/relationships/queryTable" Target="../queryTables/queryTable1252.xml"/><Relationship Id="rId385" Type="http://schemas.openxmlformats.org/officeDocument/2006/relationships/queryTable" Target="../queryTables/queryTable1434.xml"/><Relationship Id="rId19" Type="http://schemas.openxmlformats.org/officeDocument/2006/relationships/queryTable" Target="../queryTables/queryTable1068.xml"/><Relationship Id="rId224" Type="http://schemas.openxmlformats.org/officeDocument/2006/relationships/queryTable" Target="../queryTables/queryTable1273.xml"/><Relationship Id="rId245" Type="http://schemas.openxmlformats.org/officeDocument/2006/relationships/queryTable" Target="../queryTables/queryTable1294.xml"/><Relationship Id="rId266" Type="http://schemas.openxmlformats.org/officeDocument/2006/relationships/queryTable" Target="../queryTables/queryTable1315.xml"/><Relationship Id="rId287" Type="http://schemas.openxmlformats.org/officeDocument/2006/relationships/queryTable" Target="../queryTables/queryTable1336.xml"/><Relationship Id="rId410" Type="http://schemas.openxmlformats.org/officeDocument/2006/relationships/queryTable" Target="../queryTables/queryTable1459.xml"/><Relationship Id="rId431" Type="http://schemas.openxmlformats.org/officeDocument/2006/relationships/queryTable" Target="../queryTables/queryTable1480.xml"/><Relationship Id="rId452" Type="http://schemas.openxmlformats.org/officeDocument/2006/relationships/queryTable" Target="../queryTables/queryTable1501.xml"/><Relationship Id="rId473" Type="http://schemas.openxmlformats.org/officeDocument/2006/relationships/queryTable" Target="../queryTables/queryTable1522.xml"/><Relationship Id="rId494" Type="http://schemas.openxmlformats.org/officeDocument/2006/relationships/queryTable" Target="../queryTables/queryTable1543.xml"/><Relationship Id="rId508" Type="http://schemas.openxmlformats.org/officeDocument/2006/relationships/queryTable" Target="../queryTables/queryTable1557.xml"/><Relationship Id="rId30" Type="http://schemas.openxmlformats.org/officeDocument/2006/relationships/queryTable" Target="../queryTables/queryTable1079.xml"/><Relationship Id="rId105" Type="http://schemas.openxmlformats.org/officeDocument/2006/relationships/queryTable" Target="../queryTables/queryTable1154.xml"/><Relationship Id="rId126" Type="http://schemas.openxmlformats.org/officeDocument/2006/relationships/queryTable" Target="../queryTables/queryTable1175.xml"/><Relationship Id="rId147" Type="http://schemas.openxmlformats.org/officeDocument/2006/relationships/queryTable" Target="../queryTables/queryTable1196.xml"/><Relationship Id="rId168" Type="http://schemas.openxmlformats.org/officeDocument/2006/relationships/queryTable" Target="../queryTables/queryTable1217.xml"/><Relationship Id="rId312" Type="http://schemas.openxmlformats.org/officeDocument/2006/relationships/queryTable" Target="../queryTables/queryTable1361.xml"/><Relationship Id="rId333" Type="http://schemas.openxmlformats.org/officeDocument/2006/relationships/queryTable" Target="../queryTables/queryTable1382.xml"/><Relationship Id="rId354" Type="http://schemas.openxmlformats.org/officeDocument/2006/relationships/queryTable" Target="../queryTables/queryTable1403.xml"/><Relationship Id="rId51" Type="http://schemas.openxmlformats.org/officeDocument/2006/relationships/queryTable" Target="../queryTables/queryTable1100.xml"/><Relationship Id="rId72" Type="http://schemas.openxmlformats.org/officeDocument/2006/relationships/queryTable" Target="../queryTables/queryTable1121.xml"/><Relationship Id="rId93" Type="http://schemas.openxmlformats.org/officeDocument/2006/relationships/queryTable" Target="../queryTables/queryTable1142.xml"/><Relationship Id="rId189" Type="http://schemas.openxmlformats.org/officeDocument/2006/relationships/queryTable" Target="../queryTables/queryTable1238.xml"/><Relationship Id="rId375" Type="http://schemas.openxmlformats.org/officeDocument/2006/relationships/queryTable" Target="../queryTables/queryTable1424.xml"/><Relationship Id="rId396" Type="http://schemas.openxmlformats.org/officeDocument/2006/relationships/queryTable" Target="../queryTables/queryTable1445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63.xml"/><Relationship Id="rId235" Type="http://schemas.openxmlformats.org/officeDocument/2006/relationships/queryTable" Target="../queryTables/queryTable1284.xml"/><Relationship Id="rId256" Type="http://schemas.openxmlformats.org/officeDocument/2006/relationships/queryTable" Target="../queryTables/queryTable1305.xml"/><Relationship Id="rId277" Type="http://schemas.openxmlformats.org/officeDocument/2006/relationships/queryTable" Target="../queryTables/queryTable1326.xml"/><Relationship Id="rId298" Type="http://schemas.openxmlformats.org/officeDocument/2006/relationships/queryTable" Target="../queryTables/queryTable1347.xml"/><Relationship Id="rId400" Type="http://schemas.openxmlformats.org/officeDocument/2006/relationships/queryTable" Target="../queryTables/queryTable1449.xml"/><Relationship Id="rId421" Type="http://schemas.openxmlformats.org/officeDocument/2006/relationships/queryTable" Target="../queryTables/queryTable1470.xml"/><Relationship Id="rId442" Type="http://schemas.openxmlformats.org/officeDocument/2006/relationships/queryTable" Target="../queryTables/queryTable1491.xml"/><Relationship Id="rId463" Type="http://schemas.openxmlformats.org/officeDocument/2006/relationships/queryTable" Target="../queryTables/queryTable1512.xml"/><Relationship Id="rId484" Type="http://schemas.openxmlformats.org/officeDocument/2006/relationships/queryTable" Target="../queryTables/queryTable1533.xml"/><Relationship Id="rId116" Type="http://schemas.openxmlformats.org/officeDocument/2006/relationships/queryTable" Target="../queryTables/queryTable1165.xml"/><Relationship Id="rId137" Type="http://schemas.openxmlformats.org/officeDocument/2006/relationships/queryTable" Target="../queryTables/queryTable1186.xml"/><Relationship Id="rId158" Type="http://schemas.openxmlformats.org/officeDocument/2006/relationships/queryTable" Target="../queryTables/queryTable1207.xml"/><Relationship Id="rId302" Type="http://schemas.openxmlformats.org/officeDocument/2006/relationships/queryTable" Target="../queryTables/queryTable1351.xml"/><Relationship Id="rId323" Type="http://schemas.openxmlformats.org/officeDocument/2006/relationships/queryTable" Target="../queryTables/queryTable1372.xml"/><Relationship Id="rId344" Type="http://schemas.openxmlformats.org/officeDocument/2006/relationships/queryTable" Target="../queryTables/queryTable1393.xml"/><Relationship Id="rId20" Type="http://schemas.openxmlformats.org/officeDocument/2006/relationships/queryTable" Target="../queryTables/queryTable1069.xml"/><Relationship Id="rId41" Type="http://schemas.openxmlformats.org/officeDocument/2006/relationships/queryTable" Target="../queryTables/queryTable1090.xml"/><Relationship Id="rId62" Type="http://schemas.openxmlformats.org/officeDocument/2006/relationships/queryTable" Target="../queryTables/queryTable1111.xml"/><Relationship Id="rId83" Type="http://schemas.openxmlformats.org/officeDocument/2006/relationships/queryTable" Target="../queryTables/queryTable1132.xml"/><Relationship Id="rId179" Type="http://schemas.openxmlformats.org/officeDocument/2006/relationships/queryTable" Target="../queryTables/queryTable1228.xml"/><Relationship Id="rId365" Type="http://schemas.openxmlformats.org/officeDocument/2006/relationships/queryTable" Target="../queryTables/queryTable1414.xml"/><Relationship Id="rId386" Type="http://schemas.openxmlformats.org/officeDocument/2006/relationships/queryTable" Target="../queryTables/queryTable1435.xml"/><Relationship Id="rId190" Type="http://schemas.openxmlformats.org/officeDocument/2006/relationships/queryTable" Target="../queryTables/queryTable1239.xml"/><Relationship Id="rId204" Type="http://schemas.openxmlformats.org/officeDocument/2006/relationships/queryTable" Target="../queryTables/queryTable1253.xml"/><Relationship Id="rId225" Type="http://schemas.openxmlformats.org/officeDocument/2006/relationships/queryTable" Target="../queryTables/queryTable1274.xml"/><Relationship Id="rId246" Type="http://schemas.openxmlformats.org/officeDocument/2006/relationships/queryTable" Target="../queryTables/queryTable1295.xml"/><Relationship Id="rId267" Type="http://schemas.openxmlformats.org/officeDocument/2006/relationships/queryTable" Target="../queryTables/queryTable1316.xml"/><Relationship Id="rId288" Type="http://schemas.openxmlformats.org/officeDocument/2006/relationships/queryTable" Target="../queryTables/queryTable1337.xml"/><Relationship Id="rId411" Type="http://schemas.openxmlformats.org/officeDocument/2006/relationships/queryTable" Target="../queryTables/queryTable1460.xml"/><Relationship Id="rId432" Type="http://schemas.openxmlformats.org/officeDocument/2006/relationships/queryTable" Target="../queryTables/queryTable1481.xml"/><Relationship Id="rId453" Type="http://schemas.openxmlformats.org/officeDocument/2006/relationships/queryTable" Target="../queryTables/queryTable1502.xml"/><Relationship Id="rId474" Type="http://schemas.openxmlformats.org/officeDocument/2006/relationships/queryTable" Target="../queryTables/queryTable1523.xml"/><Relationship Id="rId509" Type="http://schemas.openxmlformats.org/officeDocument/2006/relationships/queryTable" Target="../queryTables/queryTable1558.xml"/><Relationship Id="rId106" Type="http://schemas.openxmlformats.org/officeDocument/2006/relationships/queryTable" Target="../queryTables/queryTable1155.xml"/><Relationship Id="rId127" Type="http://schemas.openxmlformats.org/officeDocument/2006/relationships/queryTable" Target="../queryTables/queryTable1176.xml"/><Relationship Id="rId313" Type="http://schemas.openxmlformats.org/officeDocument/2006/relationships/queryTable" Target="../queryTables/queryTable1362.xml"/><Relationship Id="rId495" Type="http://schemas.openxmlformats.org/officeDocument/2006/relationships/queryTable" Target="../queryTables/queryTable1544.xml"/><Relationship Id="rId10" Type="http://schemas.openxmlformats.org/officeDocument/2006/relationships/queryTable" Target="../queryTables/queryTable1059.xml"/><Relationship Id="rId31" Type="http://schemas.openxmlformats.org/officeDocument/2006/relationships/queryTable" Target="../queryTables/queryTable1080.xml"/><Relationship Id="rId52" Type="http://schemas.openxmlformats.org/officeDocument/2006/relationships/queryTable" Target="../queryTables/queryTable1101.xml"/><Relationship Id="rId73" Type="http://schemas.openxmlformats.org/officeDocument/2006/relationships/queryTable" Target="../queryTables/queryTable1122.xml"/><Relationship Id="rId94" Type="http://schemas.openxmlformats.org/officeDocument/2006/relationships/queryTable" Target="../queryTables/queryTable1143.xml"/><Relationship Id="rId148" Type="http://schemas.openxmlformats.org/officeDocument/2006/relationships/queryTable" Target="../queryTables/queryTable1197.xml"/><Relationship Id="rId169" Type="http://schemas.openxmlformats.org/officeDocument/2006/relationships/queryTable" Target="../queryTables/queryTable1218.xml"/><Relationship Id="rId334" Type="http://schemas.openxmlformats.org/officeDocument/2006/relationships/queryTable" Target="../queryTables/queryTable1383.xml"/><Relationship Id="rId355" Type="http://schemas.openxmlformats.org/officeDocument/2006/relationships/queryTable" Target="../queryTables/queryTable1404.xml"/><Relationship Id="rId376" Type="http://schemas.openxmlformats.org/officeDocument/2006/relationships/queryTable" Target="../queryTables/queryTable1425.xml"/><Relationship Id="rId397" Type="http://schemas.openxmlformats.org/officeDocument/2006/relationships/queryTable" Target="../queryTables/queryTable1446.xml"/><Relationship Id="rId4" Type="http://schemas.openxmlformats.org/officeDocument/2006/relationships/queryTable" Target="../queryTables/queryTable1053.xml"/><Relationship Id="rId180" Type="http://schemas.openxmlformats.org/officeDocument/2006/relationships/queryTable" Target="../queryTables/queryTable1229.xml"/><Relationship Id="rId215" Type="http://schemas.openxmlformats.org/officeDocument/2006/relationships/queryTable" Target="../queryTables/queryTable1264.xml"/><Relationship Id="rId236" Type="http://schemas.openxmlformats.org/officeDocument/2006/relationships/queryTable" Target="../queryTables/queryTable1285.xml"/><Relationship Id="rId257" Type="http://schemas.openxmlformats.org/officeDocument/2006/relationships/queryTable" Target="../queryTables/queryTable1306.xml"/><Relationship Id="rId278" Type="http://schemas.openxmlformats.org/officeDocument/2006/relationships/queryTable" Target="../queryTables/queryTable1327.xml"/><Relationship Id="rId401" Type="http://schemas.openxmlformats.org/officeDocument/2006/relationships/queryTable" Target="../queryTables/queryTable1450.xml"/><Relationship Id="rId422" Type="http://schemas.openxmlformats.org/officeDocument/2006/relationships/queryTable" Target="../queryTables/queryTable1471.xml"/><Relationship Id="rId443" Type="http://schemas.openxmlformats.org/officeDocument/2006/relationships/queryTable" Target="../queryTables/queryTable1492.xml"/><Relationship Id="rId464" Type="http://schemas.openxmlformats.org/officeDocument/2006/relationships/queryTable" Target="../queryTables/queryTable1513.xml"/><Relationship Id="rId303" Type="http://schemas.openxmlformats.org/officeDocument/2006/relationships/queryTable" Target="../queryTables/queryTable1352.xml"/><Relationship Id="rId485" Type="http://schemas.openxmlformats.org/officeDocument/2006/relationships/queryTable" Target="../queryTables/queryTable1534.xml"/><Relationship Id="rId42" Type="http://schemas.openxmlformats.org/officeDocument/2006/relationships/queryTable" Target="../queryTables/queryTable1091.xml"/><Relationship Id="rId84" Type="http://schemas.openxmlformats.org/officeDocument/2006/relationships/queryTable" Target="../queryTables/queryTable1133.xml"/><Relationship Id="rId138" Type="http://schemas.openxmlformats.org/officeDocument/2006/relationships/queryTable" Target="../queryTables/queryTable1187.xml"/><Relationship Id="rId345" Type="http://schemas.openxmlformats.org/officeDocument/2006/relationships/queryTable" Target="../queryTables/queryTable1394.xml"/><Relationship Id="rId387" Type="http://schemas.openxmlformats.org/officeDocument/2006/relationships/queryTable" Target="../queryTables/queryTable1436.xml"/><Relationship Id="rId510" Type="http://schemas.openxmlformats.org/officeDocument/2006/relationships/queryTable" Target="../queryTables/queryTable1559.xml"/><Relationship Id="rId191" Type="http://schemas.openxmlformats.org/officeDocument/2006/relationships/queryTable" Target="../queryTables/queryTable1240.xml"/><Relationship Id="rId205" Type="http://schemas.openxmlformats.org/officeDocument/2006/relationships/queryTable" Target="../queryTables/queryTable1254.xml"/><Relationship Id="rId247" Type="http://schemas.openxmlformats.org/officeDocument/2006/relationships/queryTable" Target="../queryTables/queryTable1296.xml"/><Relationship Id="rId412" Type="http://schemas.openxmlformats.org/officeDocument/2006/relationships/queryTable" Target="../queryTables/queryTable1461.xml"/><Relationship Id="rId107" Type="http://schemas.openxmlformats.org/officeDocument/2006/relationships/queryTable" Target="../queryTables/queryTable1156.xml"/><Relationship Id="rId289" Type="http://schemas.openxmlformats.org/officeDocument/2006/relationships/queryTable" Target="../queryTables/queryTable1338.xml"/><Relationship Id="rId454" Type="http://schemas.openxmlformats.org/officeDocument/2006/relationships/queryTable" Target="../queryTables/queryTable1503.xml"/><Relationship Id="rId496" Type="http://schemas.openxmlformats.org/officeDocument/2006/relationships/queryTable" Target="../queryTables/queryTable1545.xml"/><Relationship Id="rId11" Type="http://schemas.openxmlformats.org/officeDocument/2006/relationships/queryTable" Target="../queryTables/queryTable1060.xml"/><Relationship Id="rId53" Type="http://schemas.openxmlformats.org/officeDocument/2006/relationships/queryTable" Target="../queryTables/queryTable1102.xml"/><Relationship Id="rId149" Type="http://schemas.openxmlformats.org/officeDocument/2006/relationships/queryTable" Target="../queryTables/queryTable1198.xml"/><Relationship Id="rId314" Type="http://schemas.openxmlformats.org/officeDocument/2006/relationships/queryTable" Target="../queryTables/queryTable1363.xml"/><Relationship Id="rId356" Type="http://schemas.openxmlformats.org/officeDocument/2006/relationships/queryTable" Target="../queryTables/queryTable1405.xml"/><Relationship Id="rId398" Type="http://schemas.openxmlformats.org/officeDocument/2006/relationships/queryTable" Target="../queryTables/queryTable1447.xml"/><Relationship Id="rId95" Type="http://schemas.openxmlformats.org/officeDocument/2006/relationships/queryTable" Target="../queryTables/queryTable1144.xml"/><Relationship Id="rId160" Type="http://schemas.openxmlformats.org/officeDocument/2006/relationships/queryTable" Target="../queryTables/queryTable1209.xml"/><Relationship Id="rId216" Type="http://schemas.openxmlformats.org/officeDocument/2006/relationships/queryTable" Target="../queryTables/queryTable1265.xml"/><Relationship Id="rId423" Type="http://schemas.openxmlformats.org/officeDocument/2006/relationships/queryTable" Target="../queryTables/queryTable1472.xml"/><Relationship Id="rId258" Type="http://schemas.openxmlformats.org/officeDocument/2006/relationships/queryTable" Target="../queryTables/queryTable1307.xml"/><Relationship Id="rId465" Type="http://schemas.openxmlformats.org/officeDocument/2006/relationships/queryTable" Target="../queryTables/queryTable1514.xml"/><Relationship Id="rId22" Type="http://schemas.openxmlformats.org/officeDocument/2006/relationships/queryTable" Target="../queryTables/queryTable1071.xml"/><Relationship Id="rId64" Type="http://schemas.openxmlformats.org/officeDocument/2006/relationships/queryTable" Target="../queryTables/queryTable1113.xml"/><Relationship Id="rId118" Type="http://schemas.openxmlformats.org/officeDocument/2006/relationships/queryTable" Target="../queryTables/queryTable1167.xml"/><Relationship Id="rId325" Type="http://schemas.openxmlformats.org/officeDocument/2006/relationships/queryTable" Target="../queryTables/queryTable1374.xml"/><Relationship Id="rId367" Type="http://schemas.openxmlformats.org/officeDocument/2006/relationships/queryTable" Target="../queryTables/queryTable1416.xml"/><Relationship Id="rId171" Type="http://schemas.openxmlformats.org/officeDocument/2006/relationships/queryTable" Target="../queryTables/queryTable1220.xml"/><Relationship Id="rId227" Type="http://schemas.openxmlformats.org/officeDocument/2006/relationships/queryTable" Target="../queryTables/queryTable1276.xml"/><Relationship Id="rId269" Type="http://schemas.openxmlformats.org/officeDocument/2006/relationships/queryTable" Target="../queryTables/queryTable1318.xml"/><Relationship Id="rId434" Type="http://schemas.openxmlformats.org/officeDocument/2006/relationships/queryTable" Target="../queryTables/queryTable1483.xml"/><Relationship Id="rId476" Type="http://schemas.openxmlformats.org/officeDocument/2006/relationships/queryTable" Target="../queryTables/queryTable1525.xml"/><Relationship Id="rId33" Type="http://schemas.openxmlformats.org/officeDocument/2006/relationships/queryTable" Target="../queryTables/queryTable1082.xml"/><Relationship Id="rId129" Type="http://schemas.openxmlformats.org/officeDocument/2006/relationships/queryTable" Target="../queryTables/queryTable1178.xml"/><Relationship Id="rId280" Type="http://schemas.openxmlformats.org/officeDocument/2006/relationships/queryTable" Target="../queryTables/queryTable1329.xml"/><Relationship Id="rId336" Type="http://schemas.openxmlformats.org/officeDocument/2006/relationships/queryTable" Target="../queryTables/queryTable1385.xml"/><Relationship Id="rId501" Type="http://schemas.openxmlformats.org/officeDocument/2006/relationships/queryTable" Target="../queryTables/queryTable1550.xml"/><Relationship Id="rId75" Type="http://schemas.openxmlformats.org/officeDocument/2006/relationships/queryTable" Target="../queryTables/queryTable1124.xml"/><Relationship Id="rId140" Type="http://schemas.openxmlformats.org/officeDocument/2006/relationships/queryTable" Target="../queryTables/queryTable1189.xml"/><Relationship Id="rId182" Type="http://schemas.openxmlformats.org/officeDocument/2006/relationships/queryTable" Target="../queryTables/queryTable1231.xml"/><Relationship Id="rId378" Type="http://schemas.openxmlformats.org/officeDocument/2006/relationships/queryTable" Target="../queryTables/queryTable1427.xml"/><Relationship Id="rId403" Type="http://schemas.openxmlformats.org/officeDocument/2006/relationships/queryTable" Target="../queryTables/queryTable1452.xml"/><Relationship Id="rId6" Type="http://schemas.openxmlformats.org/officeDocument/2006/relationships/queryTable" Target="../queryTables/queryTable1055.xml"/><Relationship Id="rId238" Type="http://schemas.openxmlformats.org/officeDocument/2006/relationships/queryTable" Target="../queryTables/queryTable1287.xml"/><Relationship Id="rId445" Type="http://schemas.openxmlformats.org/officeDocument/2006/relationships/queryTable" Target="../queryTables/queryTable1494.xml"/><Relationship Id="rId487" Type="http://schemas.openxmlformats.org/officeDocument/2006/relationships/queryTable" Target="../queryTables/queryTable1536.xml"/><Relationship Id="rId291" Type="http://schemas.openxmlformats.org/officeDocument/2006/relationships/queryTable" Target="../queryTables/queryTable1340.xml"/><Relationship Id="rId305" Type="http://schemas.openxmlformats.org/officeDocument/2006/relationships/queryTable" Target="../queryTables/queryTable1354.xml"/><Relationship Id="rId347" Type="http://schemas.openxmlformats.org/officeDocument/2006/relationships/queryTable" Target="../queryTables/queryTable1396.xml"/><Relationship Id="rId512" Type="http://schemas.openxmlformats.org/officeDocument/2006/relationships/queryTable" Target="../queryTables/queryTable1561.xml"/><Relationship Id="rId44" Type="http://schemas.openxmlformats.org/officeDocument/2006/relationships/queryTable" Target="../queryTables/queryTable1093.xml"/><Relationship Id="rId86" Type="http://schemas.openxmlformats.org/officeDocument/2006/relationships/queryTable" Target="../queryTables/queryTable1135.xml"/><Relationship Id="rId151" Type="http://schemas.openxmlformats.org/officeDocument/2006/relationships/queryTable" Target="../queryTables/queryTable1200.xml"/><Relationship Id="rId389" Type="http://schemas.openxmlformats.org/officeDocument/2006/relationships/queryTable" Target="../queryTables/queryTable1438.xml"/><Relationship Id="rId193" Type="http://schemas.openxmlformats.org/officeDocument/2006/relationships/queryTable" Target="../queryTables/queryTable1242.xml"/><Relationship Id="rId207" Type="http://schemas.openxmlformats.org/officeDocument/2006/relationships/queryTable" Target="../queryTables/queryTable1256.xml"/><Relationship Id="rId249" Type="http://schemas.openxmlformats.org/officeDocument/2006/relationships/queryTable" Target="../queryTables/queryTable1298.xml"/><Relationship Id="rId414" Type="http://schemas.openxmlformats.org/officeDocument/2006/relationships/queryTable" Target="../queryTables/queryTable1463.xml"/><Relationship Id="rId456" Type="http://schemas.openxmlformats.org/officeDocument/2006/relationships/queryTable" Target="../queryTables/queryTable1505.xml"/><Relationship Id="rId498" Type="http://schemas.openxmlformats.org/officeDocument/2006/relationships/queryTable" Target="../queryTables/queryTable1547.xml"/><Relationship Id="rId13" Type="http://schemas.openxmlformats.org/officeDocument/2006/relationships/queryTable" Target="../queryTables/queryTable1062.xml"/><Relationship Id="rId109" Type="http://schemas.openxmlformats.org/officeDocument/2006/relationships/queryTable" Target="../queryTables/queryTable1158.xml"/><Relationship Id="rId260" Type="http://schemas.openxmlformats.org/officeDocument/2006/relationships/queryTable" Target="../queryTables/queryTable1309.xml"/><Relationship Id="rId316" Type="http://schemas.openxmlformats.org/officeDocument/2006/relationships/queryTable" Target="../queryTables/queryTable1365.xml"/><Relationship Id="rId55" Type="http://schemas.openxmlformats.org/officeDocument/2006/relationships/queryTable" Target="../queryTables/queryTable1104.xml"/><Relationship Id="rId97" Type="http://schemas.openxmlformats.org/officeDocument/2006/relationships/queryTable" Target="../queryTables/queryTable1146.xml"/><Relationship Id="rId120" Type="http://schemas.openxmlformats.org/officeDocument/2006/relationships/queryTable" Target="../queryTables/queryTable1169.xml"/><Relationship Id="rId358" Type="http://schemas.openxmlformats.org/officeDocument/2006/relationships/queryTable" Target="../queryTables/queryTable1407.xml"/><Relationship Id="rId162" Type="http://schemas.openxmlformats.org/officeDocument/2006/relationships/queryTable" Target="../queryTables/queryTable1211.xml"/><Relationship Id="rId218" Type="http://schemas.openxmlformats.org/officeDocument/2006/relationships/queryTable" Target="../queryTables/queryTable1267.xml"/><Relationship Id="rId425" Type="http://schemas.openxmlformats.org/officeDocument/2006/relationships/queryTable" Target="../queryTables/queryTable1474.xml"/><Relationship Id="rId467" Type="http://schemas.openxmlformats.org/officeDocument/2006/relationships/queryTable" Target="../queryTables/queryTable1516.xml"/><Relationship Id="rId271" Type="http://schemas.openxmlformats.org/officeDocument/2006/relationships/queryTable" Target="../queryTables/queryTable1320.xml"/><Relationship Id="rId24" Type="http://schemas.openxmlformats.org/officeDocument/2006/relationships/queryTable" Target="../queryTables/queryTable1073.xml"/><Relationship Id="rId66" Type="http://schemas.openxmlformats.org/officeDocument/2006/relationships/queryTable" Target="../queryTables/queryTable1115.xml"/><Relationship Id="rId131" Type="http://schemas.openxmlformats.org/officeDocument/2006/relationships/queryTable" Target="../queryTables/queryTable1180.xml"/><Relationship Id="rId327" Type="http://schemas.openxmlformats.org/officeDocument/2006/relationships/queryTable" Target="../queryTables/queryTable1376.xml"/><Relationship Id="rId369" Type="http://schemas.openxmlformats.org/officeDocument/2006/relationships/queryTable" Target="../queryTables/queryTable1418.xml"/><Relationship Id="rId173" Type="http://schemas.openxmlformats.org/officeDocument/2006/relationships/queryTable" Target="../queryTables/queryTable1222.xml"/><Relationship Id="rId229" Type="http://schemas.openxmlformats.org/officeDocument/2006/relationships/queryTable" Target="../queryTables/queryTable1278.xml"/><Relationship Id="rId380" Type="http://schemas.openxmlformats.org/officeDocument/2006/relationships/queryTable" Target="../queryTables/queryTable1429.xml"/><Relationship Id="rId436" Type="http://schemas.openxmlformats.org/officeDocument/2006/relationships/queryTable" Target="../queryTables/queryTable14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79.xml"/><Relationship Id="rId299" Type="http://schemas.openxmlformats.org/officeDocument/2006/relationships/queryTable" Target="../queryTables/queryTable1861.xml"/><Relationship Id="rId21" Type="http://schemas.openxmlformats.org/officeDocument/2006/relationships/queryTable" Target="../queryTables/queryTable1583.xml"/><Relationship Id="rId63" Type="http://schemas.openxmlformats.org/officeDocument/2006/relationships/queryTable" Target="../queryTables/queryTable1625.xml"/><Relationship Id="rId159" Type="http://schemas.openxmlformats.org/officeDocument/2006/relationships/queryTable" Target="../queryTables/queryTable1721.xml"/><Relationship Id="rId324" Type="http://schemas.openxmlformats.org/officeDocument/2006/relationships/queryTable" Target="../queryTables/queryTable1886.xml"/><Relationship Id="rId366" Type="http://schemas.openxmlformats.org/officeDocument/2006/relationships/queryTable" Target="../queryTables/queryTable1928.xml"/><Relationship Id="rId531" Type="http://schemas.openxmlformats.org/officeDocument/2006/relationships/queryTable" Target="../queryTables/queryTable2093.xml"/><Relationship Id="rId170" Type="http://schemas.openxmlformats.org/officeDocument/2006/relationships/queryTable" Target="../queryTables/queryTable1732.xml"/><Relationship Id="rId226" Type="http://schemas.openxmlformats.org/officeDocument/2006/relationships/queryTable" Target="../queryTables/queryTable1788.xml"/><Relationship Id="rId433" Type="http://schemas.openxmlformats.org/officeDocument/2006/relationships/queryTable" Target="../queryTables/queryTable1995.xml"/><Relationship Id="rId268" Type="http://schemas.openxmlformats.org/officeDocument/2006/relationships/queryTable" Target="../queryTables/queryTable1830.xml"/><Relationship Id="rId475" Type="http://schemas.openxmlformats.org/officeDocument/2006/relationships/queryTable" Target="../queryTables/queryTable2037.xml"/><Relationship Id="rId32" Type="http://schemas.openxmlformats.org/officeDocument/2006/relationships/queryTable" Target="../queryTables/queryTable1594.xml"/><Relationship Id="rId74" Type="http://schemas.openxmlformats.org/officeDocument/2006/relationships/queryTable" Target="../queryTables/queryTable1636.xml"/><Relationship Id="rId128" Type="http://schemas.openxmlformats.org/officeDocument/2006/relationships/queryTable" Target="../queryTables/queryTable1690.xml"/><Relationship Id="rId335" Type="http://schemas.openxmlformats.org/officeDocument/2006/relationships/queryTable" Target="../queryTables/queryTable1897.xml"/><Relationship Id="rId377" Type="http://schemas.openxmlformats.org/officeDocument/2006/relationships/queryTable" Target="../queryTables/queryTable1939.xml"/><Relationship Id="rId500" Type="http://schemas.openxmlformats.org/officeDocument/2006/relationships/queryTable" Target="../queryTables/queryTable2062.xml"/><Relationship Id="rId542" Type="http://schemas.openxmlformats.org/officeDocument/2006/relationships/queryTable" Target="../queryTables/queryTable2104.xml"/><Relationship Id="rId5" Type="http://schemas.openxmlformats.org/officeDocument/2006/relationships/queryTable" Target="../queryTables/queryTable1567.xml"/><Relationship Id="rId181" Type="http://schemas.openxmlformats.org/officeDocument/2006/relationships/queryTable" Target="../queryTables/queryTable1743.xml"/><Relationship Id="rId237" Type="http://schemas.openxmlformats.org/officeDocument/2006/relationships/queryTable" Target="../queryTables/queryTable1799.xml"/><Relationship Id="rId402" Type="http://schemas.openxmlformats.org/officeDocument/2006/relationships/queryTable" Target="../queryTables/queryTable1964.xml"/><Relationship Id="rId279" Type="http://schemas.openxmlformats.org/officeDocument/2006/relationships/queryTable" Target="../queryTables/queryTable1841.xml"/><Relationship Id="rId444" Type="http://schemas.openxmlformats.org/officeDocument/2006/relationships/queryTable" Target="../queryTables/queryTable2006.xml"/><Relationship Id="rId486" Type="http://schemas.openxmlformats.org/officeDocument/2006/relationships/queryTable" Target="../queryTables/queryTable2048.xml"/><Relationship Id="rId43" Type="http://schemas.openxmlformats.org/officeDocument/2006/relationships/queryTable" Target="../queryTables/queryTable1605.xml"/><Relationship Id="rId139" Type="http://schemas.openxmlformats.org/officeDocument/2006/relationships/queryTable" Target="../queryTables/queryTable1701.xml"/><Relationship Id="rId290" Type="http://schemas.openxmlformats.org/officeDocument/2006/relationships/queryTable" Target="../queryTables/queryTable1852.xml"/><Relationship Id="rId304" Type="http://schemas.openxmlformats.org/officeDocument/2006/relationships/queryTable" Target="../queryTables/queryTable1866.xml"/><Relationship Id="rId346" Type="http://schemas.openxmlformats.org/officeDocument/2006/relationships/queryTable" Target="../queryTables/queryTable1908.xml"/><Relationship Id="rId388" Type="http://schemas.openxmlformats.org/officeDocument/2006/relationships/queryTable" Target="../queryTables/queryTable1950.xml"/><Relationship Id="rId511" Type="http://schemas.openxmlformats.org/officeDocument/2006/relationships/queryTable" Target="../queryTables/queryTable2073.xml"/><Relationship Id="rId85" Type="http://schemas.openxmlformats.org/officeDocument/2006/relationships/queryTable" Target="../queryTables/queryTable1647.xml"/><Relationship Id="rId150" Type="http://schemas.openxmlformats.org/officeDocument/2006/relationships/queryTable" Target="../queryTables/queryTable1712.xml"/><Relationship Id="rId192" Type="http://schemas.openxmlformats.org/officeDocument/2006/relationships/queryTable" Target="../queryTables/queryTable1754.xml"/><Relationship Id="rId206" Type="http://schemas.openxmlformats.org/officeDocument/2006/relationships/queryTable" Target="../queryTables/queryTable1768.xml"/><Relationship Id="rId413" Type="http://schemas.openxmlformats.org/officeDocument/2006/relationships/queryTable" Target="../queryTables/queryTable1975.xml"/><Relationship Id="rId248" Type="http://schemas.openxmlformats.org/officeDocument/2006/relationships/queryTable" Target="../queryTables/queryTable1810.xml"/><Relationship Id="rId455" Type="http://schemas.openxmlformats.org/officeDocument/2006/relationships/queryTable" Target="../queryTables/queryTable2017.xml"/><Relationship Id="rId497" Type="http://schemas.openxmlformats.org/officeDocument/2006/relationships/queryTable" Target="../queryTables/queryTable2059.xml"/><Relationship Id="rId12" Type="http://schemas.openxmlformats.org/officeDocument/2006/relationships/queryTable" Target="../queryTables/queryTable1574.xml"/><Relationship Id="rId108" Type="http://schemas.openxmlformats.org/officeDocument/2006/relationships/queryTable" Target="../queryTables/queryTable1670.xml"/><Relationship Id="rId315" Type="http://schemas.openxmlformats.org/officeDocument/2006/relationships/queryTable" Target="../queryTables/queryTable1877.xml"/><Relationship Id="rId357" Type="http://schemas.openxmlformats.org/officeDocument/2006/relationships/queryTable" Target="../queryTables/queryTable1919.xml"/><Relationship Id="rId522" Type="http://schemas.openxmlformats.org/officeDocument/2006/relationships/queryTable" Target="../queryTables/queryTable2084.xml"/><Relationship Id="rId54" Type="http://schemas.openxmlformats.org/officeDocument/2006/relationships/queryTable" Target="../queryTables/queryTable1616.xml"/><Relationship Id="rId96" Type="http://schemas.openxmlformats.org/officeDocument/2006/relationships/queryTable" Target="../queryTables/queryTable1658.xml"/><Relationship Id="rId161" Type="http://schemas.openxmlformats.org/officeDocument/2006/relationships/queryTable" Target="../queryTables/queryTable1723.xml"/><Relationship Id="rId217" Type="http://schemas.openxmlformats.org/officeDocument/2006/relationships/queryTable" Target="../queryTables/queryTable1779.xml"/><Relationship Id="rId399" Type="http://schemas.openxmlformats.org/officeDocument/2006/relationships/queryTable" Target="../queryTables/queryTable1961.xml"/><Relationship Id="rId259" Type="http://schemas.openxmlformats.org/officeDocument/2006/relationships/queryTable" Target="../queryTables/queryTable1821.xml"/><Relationship Id="rId424" Type="http://schemas.openxmlformats.org/officeDocument/2006/relationships/queryTable" Target="../queryTables/queryTable1986.xml"/><Relationship Id="rId466" Type="http://schemas.openxmlformats.org/officeDocument/2006/relationships/queryTable" Target="../queryTables/queryTable2028.xml"/><Relationship Id="rId23" Type="http://schemas.openxmlformats.org/officeDocument/2006/relationships/queryTable" Target="../queryTables/queryTable1585.xml"/><Relationship Id="rId119" Type="http://schemas.openxmlformats.org/officeDocument/2006/relationships/queryTable" Target="../queryTables/queryTable1681.xml"/><Relationship Id="rId270" Type="http://schemas.openxmlformats.org/officeDocument/2006/relationships/queryTable" Target="../queryTables/queryTable1832.xml"/><Relationship Id="rId326" Type="http://schemas.openxmlformats.org/officeDocument/2006/relationships/queryTable" Target="../queryTables/queryTable1888.xml"/><Relationship Id="rId533" Type="http://schemas.openxmlformats.org/officeDocument/2006/relationships/queryTable" Target="../queryTables/queryTable2095.xml"/><Relationship Id="rId65" Type="http://schemas.openxmlformats.org/officeDocument/2006/relationships/queryTable" Target="../queryTables/queryTable1627.xml"/><Relationship Id="rId130" Type="http://schemas.openxmlformats.org/officeDocument/2006/relationships/queryTable" Target="../queryTables/queryTable1692.xml"/><Relationship Id="rId368" Type="http://schemas.openxmlformats.org/officeDocument/2006/relationships/queryTable" Target="../queryTables/queryTable1930.xml"/><Relationship Id="rId172" Type="http://schemas.openxmlformats.org/officeDocument/2006/relationships/queryTable" Target="../queryTables/queryTable1734.xml"/><Relationship Id="rId228" Type="http://schemas.openxmlformats.org/officeDocument/2006/relationships/queryTable" Target="../queryTables/queryTable1790.xml"/><Relationship Id="rId435" Type="http://schemas.openxmlformats.org/officeDocument/2006/relationships/queryTable" Target="../queryTables/queryTable1997.xml"/><Relationship Id="rId477" Type="http://schemas.openxmlformats.org/officeDocument/2006/relationships/queryTable" Target="../queryTables/queryTable2039.xml"/><Relationship Id="rId281" Type="http://schemas.openxmlformats.org/officeDocument/2006/relationships/queryTable" Target="../queryTables/queryTable1843.xml"/><Relationship Id="rId337" Type="http://schemas.openxmlformats.org/officeDocument/2006/relationships/queryTable" Target="../queryTables/queryTable1899.xml"/><Relationship Id="rId502" Type="http://schemas.openxmlformats.org/officeDocument/2006/relationships/queryTable" Target="../queryTables/queryTable2064.xml"/><Relationship Id="rId34" Type="http://schemas.openxmlformats.org/officeDocument/2006/relationships/queryTable" Target="../queryTables/queryTable1596.xml"/><Relationship Id="rId76" Type="http://schemas.openxmlformats.org/officeDocument/2006/relationships/queryTable" Target="../queryTables/queryTable1638.xml"/><Relationship Id="rId141" Type="http://schemas.openxmlformats.org/officeDocument/2006/relationships/queryTable" Target="../queryTables/queryTable1703.xml"/><Relationship Id="rId379" Type="http://schemas.openxmlformats.org/officeDocument/2006/relationships/queryTable" Target="../queryTables/queryTable1941.xml"/><Relationship Id="rId7" Type="http://schemas.openxmlformats.org/officeDocument/2006/relationships/queryTable" Target="../queryTables/queryTable1569.xml"/><Relationship Id="rId183" Type="http://schemas.openxmlformats.org/officeDocument/2006/relationships/queryTable" Target="../queryTables/queryTable1745.xml"/><Relationship Id="rId239" Type="http://schemas.openxmlformats.org/officeDocument/2006/relationships/queryTable" Target="../queryTables/queryTable1801.xml"/><Relationship Id="rId390" Type="http://schemas.openxmlformats.org/officeDocument/2006/relationships/queryTable" Target="../queryTables/queryTable1952.xml"/><Relationship Id="rId404" Type="http://schemas.openxmlformats.org/officeDocument/2006/relationships/queryTable" Target="../queryTables/queryTable1966.xml"/><Relationship Id="rId446" Type="http://schemas.openxmlformats.org/officeDocument/2006/relationships/queryTable" Target="../queryTables/queryTable2008.xml"/><Relationship Id="rId250" Type="http://schemas.openxmlformats.org/officeDocument/2006/relationships/queryTable" Target="../queryTables/queryTable1812.xml"/><Relationship Id="rId292" Type="http://schemas.openxmlformats.org/officeDocument/2006/relationships/queryTable" Target="../queryTables/queryTable1854.xml"/><Relationship Id="rId306" Type="http://schemas.openxmlformats.org/officeDocument/2006/relationships/queryTable" Target="../queryTables/queryTable1868.xml"/><Relationship Id="rId488" Type="http://schemas.openxmlformats.org/officeDocument/2006/relationships/queryTable" Target="../queryTables/queryTable2050.xml"/><Relationship Id="rId45" Type="http://schemas.openxmlformats.org/officeDocument/2006/relationships/queryTable" Target="../queryTables/queryTable1607.xml"/><Relationship Id="rId87" Type="http://schemas.openxmlformats.org/officeDocument/2006/relationships/queryTable" Target="../queryTables/queryTable1649.xml"/><Relationship Id="rId110" Type="http://schemas.openxmlformats.org/officeDocument/2006/relationships/queryTable" Target="../queryTables/queryTable1672.xml"/><Relationship Id="rId348" Type="http://schemas.openxmlformats.org/officeDocument/2006/relationships/queryTable" Target="../queryTables/queryTable1910.xml"/><Relationship Id="rId513" Type="http://schemas.openxmlformats.org/officeDocument/2006/relationships/queryTable" Target="../queryTables/queryTable2075.xml"/><Relationship Id="rId152" Type="http://schemas.openxmlformats.org/officeDocument/2006/relationships/queryTable" Target="../queryTables/queryTable1714.xml"/><Relationship Id="rId194" Type="http://schemas.openxmlformats.org/officeDocument/2006/relationships/queryTable" Target="../queryTables/queryTable1756.xml"/><Relationship Id="rId208" Type="http://schemas.openxmlformats.org/officeDocument/2006/relationships/queryTable" Target="../queryTables/queryTable1770.xml"/><Relationship Id="rId415" Type="http://schemas.openxmlformats.org/officeDocument/2006/relationships/queryTable" Target="../queryTables/queryTable1977.xml"/><Relationship Id="rId457" Type="http://schemas.openxmlformats.org/officeDocument/2006/relationships/queryTable" Target="../queryTables/queryTable2019.xml"/><Relationship Id="rId261" Type="http://schemas.openxmlformats.org/officeDocument/2006/relationships/queryTable" Target="../queryTables/queryTable1823.xml"/><Relationship Id="rId499" Type="http://schemas.openxmlformats.org/officeDocument/2006/relationships/queryTable" Target="../queryTables/queryTable2061.xml"/><Relationship Id="rId14" Type="http://schemas.openxmlformats.org/officeDocument/2006/relationships/queryTable" Target="../queryTables/queryTable1576.xml"/><Relationship Id="rId56" Type="http://schemas.openxmlformats.org/officeDocument/2006/relationships/queryTable" Target="../queryTables/queryTable1618.xml"/><Relationship Id="rId317" Type="http://schemas.openxmlformats.org/officeDocument/2006/relationships/queryTable" Target="../queryTables/queryTable1879.xml"/><Relationship Id="rId359" Type="http://schemas.openxmlformats.org/officeDocument/2006/relationships/queryTable" Target="../queryTables/queryTable1921.xml"/><Relationship Id="rId524" Type="http://schemas.openxmlformats.org/officeDocument/2006/relationships/queryTable" Target="../queryTables/queryTable2086.xml"/><Relationship Id="rId98" Type="http://schemas.openxmlformats.org/officeDocument/2006/relationships/queryTable" Target="../queryTables/queryTable1660.xml"/><Relationship Id="rId121" Type="http://schemas.openxmlformats.org/officeDocument/2006/relationships/queryTable" Target="../queryTables/queryTable1683.xml"/><Relationship Id="rId163" Type="http://schemas.openxmlformats.org/officeDocument/2006/relationships/queryTable" Target="../queryTables/queryTable1725.xml"/><Relationship Id="rId219" Type="http://schemas.openxmlformats.org/officeDocument/2006/relationships/queryTable" Target="../queryTables/queryTable1781.xml"/><Relationship Id="rId370" Type="http://schemas.openxmlformats.org/officeDocument/2006/relationships/queryTable" Target="../queryTables/queryTable1932.xml"/><Relationship Id="rId426" Type="http://schemas.openxmlformats.org/officeDocument/2006/relationships/queryTable" Target="../queryTables/queryTable1988.xml"/><Relationship Id="rId230" Type="http://schemas.openxmlformats.org/officeDocument/2006/relationships/queryTable" Target="../queryTables/queryTable1792.xml"/><Relationship Id="rId468" Type="http://schemas.openxmlformats.org/officeDocument/2006/relationships/queryTable" Target="../queryTables/queryTable2030.xml"/><Relationship Id="rId25" Type="http://schemas.openxmlformats.org/officeDocument/2006/relationships/queryTable" Target="../queryTables/queryTable1587.xml"/><Relationship Id="rId67" Type="http://schemas.openxmlformats.org/officeDocument/2006/relationships/queryTable" Target="../queryTables/queryTable1629.xml"/><Relationship Id="rId272" Type="http://schemas.openxmlformats.org/officeDocument/2006/relationships/queryTable" Target="../queryTables/queryTable1834.xml"/><Relationship Id="rId328" Type="http://schemas.openxmlformats.org/officeDocument/2006/relationships/queryTable" Target="../queryTables/queryTable1890.xml"/><Relationship Id="rId535" Type="http://schemas.openxmlformats.org/officeDocument/2006/relationships/queryTable" Target="../queryTables/queryTable2097.xml"/><Relationship Id="rId88" Type="http://schemas.openxmlformats.org/officeDocument/2006/relationships/queryTable" Target="../queryTables/queryTable1650.xml"/><Relationship Id="rId111" Type="http://schemas.openxmlformats.org/officeDocument/2006/relationships/queryTable" Target="../queryTables/queryTable1673.xml"/><Relationship Id="rId132" Type="http://schemas.openxmlformats.org/officeDocument/2006/relationships/queryTable" Target="../queryTables/queryTable1694.xml"/><Relationship Id="rId153" Type="http://schemas.openxmlformats.org/officeDocument/2006/relationships/queryTable" Target="../queryTables/queryTable1715.xml"/><Relationship Id="rId174" Type="http://schemas.openxmlformats.org/officeDocument/2006/relationships/queryTable" Target="../queryTables/queryTable1736.xml"/><Relationship Id="rId195" Type="http://schemas.openxmlformats.org/officeDocument/2006/relationships/queryTable" Target="../queryTables/queryTable1757.xml"/><Relationship Id="rId209" Type="http://schemas.openxmlformats.org/officeDocument/2006/relationships/queryTable" Target="../queryTables/queryTable1771.xml"/><Relationship Id="rId360" Type="http://schemas.openxmlformats.org/officeDocument/2006/relationships/queryTable" Target="../queryTables/queryTable1922.xml"/><Relationship Id="rId381" Type="http://schemas.openxmlformats.org/officeDocument/2006/relationships/queryTable" Target="../queryTables/queryTable1943.xml"/><Relationship Id="rId416" Type="http://schemas.openxmlformats.org/officeDocument/2006/relationships/queryTable" Target="../queryTables/queryTable1978.xml"/><Relationship Id="rId220" Type="http://schemas.openxmlformats.org/officeDocument/2006/relationships/queryTable" Target="../queryTables/queryTable1782.xml"/><Relationship Id="rId241" Type="http://schemas.openxmlformats.org/officeDocument/2006/relationships/queryTable" Target="../queryTables/queryTable1803.xml"/><Relationship Id="rId437" Type="http://schemas.openxmlformats.org/officeDocument/2006/relationships/queryTable" Target="../queryTables/queryTable1999.xml"/><Relationship Id="rId458" Type="http://schemas.openxmlformats.org/officeDocument/2006/relationships/queryTable" Target="../queryTables/queryTable2020.xml"/><Relationship Id="rId479" Type="http://schemas.openxmlformats.org/officeDocument/2006/relationships/queryTable" Target="../queryTables/queryTable2041.xml"/><Relationship Id="rId15" Type="http://schemas.openxmlformats.org/officeDocument/2006/relationships/queryTable" Target="../queryTables/queryTable1577.xml"/><Relationship Id="rId36" Type="http://schemas.openxmlformats.org/officeDocument/2006/relationships/queryTable" Target="../queryTables/queryTable1598.xml"/><Relationship Id="rId57" Type="http://schemas.openxmlformats.org/officeDocument/2006/relationships/queryTable" Target="../queryTables/queryTable1619.xml"/><Relationship Id="rId262" Type="http://schemas.openxmlformats.org/officeDocument/2006/relationships/queryTable" Target="../queryTables/queryTable1824.xml"/><Relationship Id="rId283" Type="http://schemas.openxmlformats.org/officeDocument/2006/relationships/queryTable" Target="../queryTables/queryTable1845.xml"/><Relationship Id="rId318" Type="http://schemas.openxmlformats.org/officeDocument/2006/relationships/queryTable" Target="../queryTables/queryTable1880.xml"/><Relationship Id="rId339" Type="http://schemas.openxmlformats.org/officeDocument/2006/relationships/queryTable" Target="../queryTables/queryTable1901.xml"/><Relationship Id="rId490" Type="http://schemas.openxmlformats.org/officeDocument/2006/relationships/queryTable" Target="../queryTables/queryTable2052.xml"/><Relationship Id="rId504" Type="http://schemas.openxmlformats.org/officeDocument/2006/relationships/queryTable" Target="../queryTables/queryTable2066.xml"/><Relationship Id="rId525" Type="http://schemas.openxmlformats.org/officeDocument/2006/relationships/queryTable" Target="../queryTables/queryTable2087.xml"/><Relationship Id="rId78" Type="http://schemas.openxmlformats.org/officeDocument/2006/relationships/queryTable" Target="../queryTables/queryTable1640.xml"/><Relationship Id="rId99" Type="http://schemas.openxmlformats.org/officeDocument/2006/relationships/queryTable" Target="../queryTables/queryTable1661.xml"/><Relationship Id="rId101" Type="http://schemas.openxmlformats.org/officeDocument/2006/relationships/queryTable" Target="../queryTables/queryTable1663.xml"/><Relationship Id="rId122" Type="http://schemas.openxmlformats.org/officeDocument/2006/relationships/queryTable" Target="../queryTables/queryTable1684.xml"/><Relationship Id="rId143" Type="http://schemas.openxmlformats.org/officeDocument/2006/relationships/queryTable" Target="../queryTables/queryTable1705.xml"/><Relationship Id="rId164" Type="http://schemas.openxmlformats.org/officeDocument/2006/relationships/queryTable" Target="../queryTables/queryTable1726.xml"/><Relationship Id="rId185" Type="http://schemas.openxmlformats.org/officeDocument/2006/relationships/queryTable" Target="../queryTables/queryTable1747.xml"/><Relationship Id="rId350" Type="http://schemas.openxmlformats.org/officeDocument/2006/relationships/queryTable" Target="../queryTables/queryTable1912.xml"/><Relationship Id="rId371" Type="http://schemas.openxmlformats.org/officeDocument/2006/relationships/queryTable" Target="../queryTables/queryTable1933.xml"/><Relationship Id="rId406" Type="http://schemas.openxmlformats.org/officeDocument/2006/relationships/queryTable" Target="../queryTables/queryTable1968.xml"/><Relationship Id="rId9" Type="http://schemas.openxmlformats.org/officeDocument/2006/relationships/queryTable" Target="../queryTables/queryTable1571.xml"/><Relationship Id="rId210" Type="http://schemas.openxmlformats.org/officeDocument/2006/relationships/queryTable" Target="../queryTables/queryTable1772.xml"/><Relationship Id="rId392" Type="http://schemas.openxmlformats.org/officeDocument/2006/relationships/queryTable" Target="../queryTables/queryTable1954.xml"/><Relationship Id="rId427" Type="http://schemas.openxmlformats.org/officeDocument/2006/relationships/queryTable" Target="../queryTables/queryTable1989.xml"/><Relationship Id="rId448" Type="http://schemas.openxmlformats.org/officeDocument/2006/relationships/queryTable" Target="../queryTables/queryTable2010.xml"/><Relationship Id="rId469" Type="http://schemas.openxmlformats.org/officeDocument/2006/relationships/queryTable" Target="../queryTables/queryTable2031.xml"/><Relationship Id="rId26" Type="http://schemas.openxmlformats.org/officeDocument/2006/relationships/queryTable" Target="../queryTables/queryTable1588.xml"/><Relationship Id="rId231" Type="http://schemas.openxmlformats.org/officeDocument/2006/relationships/queryTable" Target="../queryTables/queryTable1793.xml"/><Relationship Id="rId252" Type="http://schemas.openxmlformats.org/officeDocument/2006/relationships/queryTable" Target="../queryTables/queryTable1814.xml"/><Relationship Id="rId273" Type="http://schemas.openxmlformats.org/officeDocument/2006/relationships/queryTable" Target="../queryTables/queryTable1835.xml"/><Relationship Id="rId294" Type="http://schemas.openxmlformats.org/officeDocument/2006/relationships/queryTable" Target="../queryTables/queryTable1856.xml"/><Relationship Id="rId308" Type="http://schemas.openxmlformats.org/officeDocument/2006/relationships/queryTable" Target="../queryTables/queryTable1870.xml"/><Relationship Id="rId329" Type="http://schemas.openxmlformats.org/officeDocument/2006/relationships/queryTable" Target="../queryTables/queryTable1891.xml"/><Relationship Id="rId480" Type="http://schemas.openxmlformats.org/officeDocument/2006/relationships/queryTable" Target="../queryTables/queryTable2042.xml"/><Relationship Id="rId515" Type="http://schemas.openxmlformats.org/officeDocument/2006/relationships/queryTable" Target="../queryTables/queryTable2077.xml"/><Relationship Id="rId536" Type="http://schemas.openxmlformats.org/officeDocument/2006/relationships/queryTable" Target="../queryTables/queryTable2098.xml"/><Relationship Id="rId47" Type="http://schemas.openxmlformats.org/officeDocument/2006/relationships/queryTable" Target="../queryTables/queryTable1609.xml"/><Relationship Id="rId68" Type="http://schemas.openxmlformats.org/officeDocument/2006/relationships/queryTable" Target="../queryTables/queryTable1630.xml"/><Relationship Id="rId89" Type="http://schemas.openxmlformats.org/officeDocument/2006/relationships/queryTable" Target="../queryTables/queryTable1651.xml"/><Relationship Id="rId112" Type="http://schemas.openxmlformats.org/officeDocument/2006/relationships/queryTable" Target="../queryTables/queryTable1674.xml"/><Relationship Id="rId133" Type="http://schemas.openxmlformats.org/officeDocument/2006/relationships/queryTable" Target="../queryTables/queryTable1695.xml"/><Relationship Id="rId154" Type="http://schemas.openxmlformats.org/officeDocument/2006/relationships/queryTable" Target="../queryTables/queryTable1716.xml"/><Relationship Id="rId175" Type="http://schemas.openxmlformats.org/officeDocument/2006/relationships/queryTable" Target="../queryTables/queryTable1737.xml"/><Relationship Id="rId340" Type="http://schemas.openxmlformats.org/officeDocument/2006/relationships/queryTable" Target="../queryTables/queryTable1902.xml"/><Relationship Id="rId361" Type="http://schemas.openxmlformats.org/officeDocument/2006/relationships/queryTable" Target="../queryTables/queryTable1923.xml"/><Relationship Id="rId196" Type="http://schemas.openxmlformats.org/officeDocument/2006/relationships/queryTable" Target="../queryTables/queryTable1758.xml"/><Relationship Id="rId200" Type="http://schemas.openxmlformats.org/officeDocument/2006/relationships/queryTable" Target="../queryTables/queryTable1762.xml"/><Relationship Id="rId382" Type="http://schemas.openxmlformats.org/officeDocument/2006/relationships/queryTable" Target="../queryTables/queryTable1944.xml"/><Relationship Id="rId417" Type="http://schemas.openxmlformats.org/officeDocument/2006/relationships/queryTable" Target="../queryTables/queryTable1979.xml"/><Relationship Id="rId438" Type="http://schemas.openxmlformats.org/officeDocument/2006/relationships/queryTable" Target="../queryTables/queryTable2000.xml"/><Relationship Id="rId459" Type="http://schemas.openxmlformats.org/officeDocument/2006/relationships/queryTable" Target="../queryTables/queryTable2021.xml"/><Relationship Id="rId16" Type="http://schemas.openxmlformats.org/officeDocument/2006/relationships/queryTable" Target="../queryTables/queryTable1578.xml"/><Relationship Id="rId221" Type="http://schemas.openxmlformats.org/officeDocument/2006/relationships/queryTable" Target="../queryTables/queryTable1783.xml"/><Relationship Id="rId242" Type="http://schemas.openxmlformats.org/officeDocument/2006/relationships/queryTable" Target="../queryTables/queryTable1804.xml"/><Relationship Id="rId263" Type="http://schemas.openxmlformats.org/officeDocument/2006/relationships/queryTable" Target="../queryTables/queryTable1825.xml"/><Relationship Id="rId284" Type="http://schemas.openxmlformats.org/officeDocument/2006/relationships/queryTable" Target="../queryTables/queryTable1846.xml"/><Relationship Id="rId319" Type="http://schemas.openxmlformats.org/officeDocument/2006/relationships/queryTable" Target="../queryTables/queryTable1881.xml"/><Relationship Id="rId470" Type="http://schemas.openxmlformats.org/officeDocument/2006/relationships/queryTable" Target="../queryTables/queryTable2032.xml"/><Relationship Id="rId491" Type="http://schemas.openxmlformats.org/officeDocument/2006/relationships/queryTable" Target="../queryTables/queryTable2053.xml"/><Relationship Id="rId505" Type="http://schemas.openxmlformats.org/officeDocument/2006/relationships/queryTable" Target="../queryTables/queryTable2067.xml"/><Relationship Id="rId526" Type="http://schemas.openxmlformats.org/officeDocument/2006/relationships/queryTable" Target="../queryTables/queryTable2088.xml"/><Relationship Id="rId37" Type="http://schemas.openxmlformats.org/officeDocument/2006/relationships/queryTable" Target="../queryTables/queryTable1599.xml"/><Relationship Id="rId58" Type="http://schemas.openxmlformats.org/officeDocument/2006/relationships/queryTable" Target="../queryTables/queryTable1620.xml"/><Relationship Id="rId79" Type="http://schemas.openxmlformats.org/officeDocument/2006/relationships/queryTable" Target="../queryTables/queryTable1641.xml"/><Relationship Id="rId102" Type="http://schemas.openxmlformats.org/officeDocument/2006/relationships/queryTable" Target="../queryTables/queryTable1664.xml"/><Relationship Id="rId123" Type="http://schemas.openxmlformats.org/officeDocument/2006/relationships/queryTable" Target="../queryTables/queryTable1685.xml"/><Relationship Id="rId144" Type="http://schemas.openxmlformats.org/officeDocument/2006/relationships/queryTable" Target="../queryTables/queryTable1706.xml"/><Relationship Id="rId330" Type="http://schemas.openxmlformats.org/officeDocument/2006/relationships/queryTable" Target="../queryTables/queryTable1892.xml"/><Relationship Id="rId90" Type="http://schemas.openxmlformats.org/officeDocument/2006/relationships/queryTable" Target="../queryTables/queryTable1652.xml"/><Relationship Id="rId165" Type="http://schemas.openxmlformats.org/officeDocument/2006/relationships/queryTable" Target="../queryTables/queryTable1727.xml"/><Relationship Id="rId186" Type="http://schemas.openxmlformats.org/officeDocument/2006/relationships/queryTable" Target="../queryTables/queryTable1748.xml"/><Relationship Id="rId351" Type="http://schemas.openxmlformats.org/officeDocument/2006/relationships/queryTable" Target="../queryTables/queryTable1913.xml"/><Relationship Id="rId372" Type="http://schemas.openxmlformats.org/officeDocument/2006/relationships/queryTable" Target="../queryTables/queryTable1934.xml"/><Relationship Id="rId393" Type="http://schemas.openxmlformats.org/officeDocument/2006/relationships/queryTable" Target="../queryTables/queryTable1955.xml"/><Relationship Id="rId407" Type="http://schemas.openxmlformats.org/officeDocument/2006/relationships/queryTable" Target="../queryTables/queryTable1969.xml"/><Relationship Id="rId428" Type="http://schemas.openxmlformats.org/officeDocument/2006/relationships/queryTable" Target="../queryTables/queryTable1990.xml"/><Relationship Id="rId449" Type="http://schemas.openxmlformats.org/officeDocument/2006/relationships/queryTable" Target="../queryTables/queryTable2011.xml"/><Relationship Id="rId211" Type="http://schemas.openxmlformats.org/officeDocument/2006/relationships/queryTable" Target="../queryTables/queryTable1773.xml"/><Relationship Id="rId232" Type="http://schemas.openxmlformats.org/officeDocument/2006/relationships/queryTable" Target="../queryTables/queryTable1794.xml"/><Relationship Id="rId253" Type="http://schemas.openxmlformats.org/officeDocument/2006/relationships/queryTable" Target="../queryTables/queryTable1815.xml"/><Relationship Id="rId274" Type="http://schemas.openxmlformats.org/officeDocument/2006/relationships/queryTable" Target="../queryTables/queryTable1836.xml"/><Relationship Id="rId295" Type="http://schemas.openxmlformats.org/officeDocument/2006/relationships/queryTable" Target="../queryTables/queryTable1857.xml"/><Relationship Id="rId309" Type="http://schemas.openxmlformats.org/officeDocument/2006/relationships/queryTable" Target="../queryTables/queryTable1871.xml"/><Relationship Id="rId460" Type="http://schemas.openxmlformats.org/officeDocument/2006/relationships/queryTable" Target="../queryTables/queryTable2022.xml"/><Relationship Id="rId481" Type="http://schemas.openxmlformats.org/officeDocument/2006/relationships/queryTable" Target="../queryTables/queryTable2043.xml"/><Relationship Id="rId516" Type="http://schemas.openxmlformats.org/officeDocument/2006/relationships/queryTable" Target="../queryTables/queryTable2078.xml"/><Relationship Id="rId27" Type="http://schemas.openxmlformats.org/officeDocument/2006/relationships/queryTable" Target="../queryTables/queryTable1589.xml"/><Relationship Id="rId48" Type="http://schemas.openxmlformats.org/officeDocument/2006/relationships/queryTable" Target="../queryTables/queryTable1610.xml"/><Relationship Id="rId69" Type="http://schemas.openxmlformats.org/officeDocument/2006/relationships/queryTable" Target="../queryTables/queryTable1631.xml"/><Relationship Id="rId113" Type="http://schemas.openxmlformats.org/officeDocument/2006/relationships/queryTable" Target="../queryTables/queryTable1675.xml"/><Relationship Id="rId134" Type="http://schemas.openxmlformats.org/officeDocument/2006/relationships/queryTable" Target="../queryTables/queryTable1696.xml"/><Relationship Id="rId320" Type="http://schemas.openxmlformats.org/officeDocument/2006/relationships/queryTable" Target="../queryTables/queryTable1882.xml"/><Relationship Id="rId537" Type="http://schemas.openxmlformats.org/officeDocument/2006/relationships/queryTable" Target="../queryTables/queryTable2099.xml"/><Relationship Id="rId80" Type="http://schemas.openxmlformats.org/officeDocument/2006/relationships/queryTable" Target="../queryTables/queryTable1642.xml"/><Relationship Id="rId155" Type="http://schemas.openxmlformats.org/officeDocument/2006/relationships/queryTable" Target="../queryTables/queryTable1717.xml"/><Relationship Id="rId176" Type="http://schemas.openxmlformats.org/officeDocument/2006/relationships/queryTable" Target="../queryTables/queryTable1738.xml"/><Relationship Id="rId197" Type="http://schemas.openxmlformats.org/officeDocument/2006/relationships/queryTable" Target="../queryTables/queryTable1759.xml"/><Relationship Id="rId341" Type="http://schemas.openxmlformats.org/officeDocument/2006/relationships/queryTable" Target="../queryTables/queryTable1903.xml"/><Relationship Id="rId362" Type="http://schemas.openxmlformats.org/officeDocument/2006/relationships/queryTable" Target="../queryTables/queryTable1924.xml"/><Relationship Id="rId383" Type="http://schemas.openxmlformats.org/officeDocument/2006/relationships/queryTable" Target="../queryTables/queryTable1945.xml"/><Relationship Id="rId418" Type="http://schemas.openxmlformats.org/officeDocument/2006/relationships/queryTable" Target="../queryTables/queryTable1980.xml"/><Relationship Id="rId439" Type="http://schemas.openxmlformats.org/officeDocument/2006/relationships/queryTable" Target="../queryTables/queryTable2001.xml"/><Relationship Id="rId201" Type="http://schemas.openxmlformats.org/officeDocument/2006/relationships/queryTable" Target="../queryTables/queryTable1763.xml"/><Relationship Id="rId222" Type="http://schemas.openxmlformats.org/officeDocument/2006/relationships/queryTable" Target="../queryTables/queryTable1784.xml"/><Relationship Id="rId243" Type="http://schemas.openxmlformats.org/officeDocument/2006/relationships/queryTable" Target="../queryTables/queryTable1805.xml"/><Relationship Id="rId264" Type="http://schemas.openxmlformats.org/officeDocument/2006/relationships/queryTable" Target="../queryTables/queryTable1826.xml"/><Relationship Id="rId285" Type="http://schemas.openxmlformats.org/officeDocument/2006/relationships/queryTable" Target="../queryTables/queryTable1847.xml"/><Relationship Id="rId450" Type="http://schemas.openxmlformats.org/officeDocument/2006/relationships/queryTable" Target="../queryTables/queryTable2012.xml"/><Relationship Id="rId471" Type="http://schemas.openxmlformats.org/officeDocument/2006/relationships/queryTable" Target="../queryTables/queryTable2033.xml"/><Relationship Id="rId506" Type="http://schemas.openxmlformats.org/officeDocument/2006/relationships/queryTable" Target="../queryTables/queryTable2068.xml"/><Relationship Id="rId17" Type="http://schemas.openxmlformats.org/officeDocument/2006/relationships/queryTable" Target="../queryTables/queryTable1579.xml"/><Relationship Id="rId38" Type="http://schemas.openxmlformats.org/officeDocument/2006/relationships/queryTable" Target="../queryTables/queryTable1600.xml"/><Relationship Id="rId59" Type="http://schemas.openxmlformats.org/officeDocument/2006/relationships/queryTable" Target="../queryTables/queryTable1621.xml"/><Relationship Id="rId103" Type="http://schemas.openxmlformats.org/officeDocument/2006/relationships/queryTable" Target="../queryTables/queryTable1665.xml"/><Relationship Id="rId124" Type="http://schemas.openxmlformats.org/officeDocument/2006/relationships/queryTable" Target="../queryTables/queryTable1686.xml"/><Relationship Id="rId310" Type="http://schemas.openxmlformats.org/officeDocument/2006/relationships/queryTable" Target="../queryTables/queryTable1872.xml"/><Relationship Id="rId492" Type="http://schemas.openxmlformats.org/officeDocument/2006/relationships/queryTable" Target="../queryTables/queryTable2054.xml"/><Relationship Id="rId527" Type="http://schemas.openxmlformats.org/officeDocument/2006/relationships/queryTable" Target="../queryTables/queryTable2089.xml"/><Relationship Id="rId70" Type="http://schemas.openxmlformats.org/officeDocument/2006/relationships/queryTable" Target="../queryTables/queryTable1632.xml"/><Relationship Id="rId91" Type="http://schemas.openxmlformats.org/officeDocument/2006/relationships/queryTable" Target="../queryTables/queryTable1653.xml"/><Relationship Id="rId145" Type="http://schemas.openxmlformats.org/officeDocument/2006/relationships/queryTable" Target="../queryTables/queryTable1707.xml"/><Relationship Id="rId166" Type="http://schemas.openxmlformats.org/officeDocument/2006/relationships/queryTable" Target="../queryTables/queryTable1728.xml"/><Relationship Id="rId187" Type="http://schemas.openxmlformats.org/officeDocument/2006/relationships/queryTable" Target="../queryTables/queryTable1749.xml"/><Relationship Id="rId331" Type="http://schemas.openxmlformats.org/officeDocument/2006/relationships/queryTable" Target="../queryTables/queryTable1893.xml"/><Relationship Id="rId352" Type="http://schemas.openxmlformats.org/officeDocument/2006/relationships/queryTable" Target="../queryTables/queryTable1914.xml"/><Relationship Id="rId373" Type="http://schemas.openxmlformats.org/officeDocument/2006/relationships/queryTable" Target="../queryTables/queryTable1935.xml"/><Relationship Id="rId394" Type="http://schemas.openxmlformats.org/officeDocument/2006/relationships/queryTable" Target="../queryTables/queryTable1956.xml"/><Relationship Id="rId408" Type="http://schemas.openxmlformats.org/officeDocument/2006/relationships/queryTable" Target="../queryTables/queryTable1970.xml"/><Relationship Id="rId429" Type="http://schemas.openxmlformats.org/officeDocument/2006/relationships/queryTable" Target="../queryTables/queryTable1991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74.xml"/><Relationship Id="rId233" Type="http://schemas.openxmlformats.org/officeDocument/2006/relationships/queryTable" Target="../queryTables/queryTable1795.xml"/><Relationship Id="rId254" Type="http://schemas.openxmlformats.org/officeDocument/2006/relationships/queryTable" Target="../queryTables/queryTable1816.xml"/><Relationship Id="rId440" Type="http://schemas.openxmlformats.org/officeDocument/2006/relationships/queryTable" Target="../queryTables/queryTable2002.xml"/><Relationship Id="rId28" Type="http://schemas.openxmlformats.org/officeDocument/2006/relationships/queryTable" Target="../queryTables/queryTable1590.xml"/><Relationship Id="rId49" Type="http://schemas.openxmlformats.org/officeDocument/2006/relationships/queryTable" Target="../queryTables/queryTable1611.xml"/><Relationship Id="rId114" Type="http://schemas.openxmlformats.org/officeDocument/2006/relationships/queryTable" Target="../queryTables/queryTable1676.xml"/><Relationship Id="rId275" Type="http://schemas.openxmlformats.org/officeDocument/2006/relationships/queryTable" Target="../queryTables/queryTable1837.xml"/><Relationship Id="rId296" Type="http://schemas.openxmlformats.org/officeDocument/2006/relationships/queryTable" Target="../queryTables/queryTable1858.xml"/><Relationship Id="rId300" Type="http://schemas.openxmlformats.org/officeDocument/2006/relationships/queryTable" Target="../queryTables/queryTable1862.xml"/><Relationship Id="rId461" Type="http://schemas.openxmlformats.org/officeDocument/2006/relationships/queryTable" Target="../queryTables/queryTable2023.xml"/><Relationship Id="rId482" Type="http://schemas.openxmlformats.org/officeDocument/2006/relationships/queryTable" Target="../queryTables/queryTable2044.xml"/><Relationship Id="rId517" Type="http://schemas.openxmlformats.org/officeDocument/2006/relationships/queryTable" Target="../queryTables/queryTable2079.xml"/><Relationship Id="rId538" Type="http://schemas.openxmlformats.org/officeDocument/2006/relationships/queryTable" Target="../queryTables/queryTable2100.xml"/><Relationship Id="rId60" Type="http://schemas.openxmlformats.org/officeDocument/2006/relationships/queryTable" Target="../queryTables/queryTable1622.xml"/><Relationship Id="rId81" Type="http://schemas.openxmlformats.org/officeDocument/2006/relationships/queryTable" Target="../queryTables/queryTable1643.xml"/><Relationship Id="rId135" Type="http://schemas.openxmlformats.org/officeDocument/2006/relationships/queryTable" Target="../queryTables/queryTable1697.xml"/><Relationship Id="rId156" Type="http://schemas.openxmlformats.org/officeDocument/2006/relationships/queryTable" Target="../queryTables/queryTable1718.xml"/><Relationship Id="rId177" Type="http://schemas.openxmlformats.org/officeDocument/2006/relationships/queryTable" Target="../queryTables/queryTable1739.xml"/><Relationship Id="rId198" Type="http://schemas.openxmlformats.org/officeDocument/2006/relationships/queryTable" Target="../queryTables/queryTable1760.xml"/><Relationship Id="rId321" Type="http://schemas.openxmlformats.org/officeDocument/2006/relationships/queryTable" Target="../queryTables/queryTable1883.xml"/><Relationship Id="rId342" Type="http://schemas.openxmlformats.org/officeDocument/2006/relationships/queryTable" Target="../queryTables/queryTable1904.xml"/><Relationship Id="rId363" Type="http://schemas.openxmlformats.org/officeDocument/2006/relationships/queryTable" Target="../queryTables/queryTable1925.xml"/><Relationship Id="rId384" Type="http://schemas.openxmlformats.org/officeDocument/2006/relationships/queryTable" Target="../queryTables/queryTable1946.xml"/><Relationship Id="rId419" Type="http://schemas.openxmlformats.org/officeDocument/2006/relationships/queryTable" Target="../queryTables/queryTable1981.xml"/><Relationship Id="rId202" Type="http://schemas.openxmlformats.org/officeDocument/2006/relationships/queryTable" Target="../queryTables/queryTable1764.xml"/><Relationship Id="rId223" Type="http://schemas.openxmlformats.org/officeDocument/2006/relationships/queryTable" Target="../queryTables/queryTable1785.xml"/><Relationship Id="rId244" Type="http://schemas.openxmlformats.org/officeDocument/2006/relationships/queryTable" Target="../queryTables/queryTable1806.xml"/><Relationship Id="rId430" Type="http://schemas.openxmlformats.org/officeDocument/2006/relationships/queryTable" Target="../queryTables/queryTable1992.xml"/><Relationship Id="rId18" Type="http://schemas.openxmlformats.org/officeDocument/2006/relationships/queryTable" Target="../queryTables/queryTable1580.xml"/><Relationship Id="rId39" Type="http://schemas.openxmlformats.org/officeDocument/2006/relationships/queryTable" Target="../queryTables/queryTable1601.xml"/><Relationship Id="rId265" Type="http://schemas.openxmlformats.org/officeDocument/2006/relationships/queryTable" Target="../queryTables/queryTable1827.xml"/><Relationship Id="rId286" Type="http://schemas.openxmlformats.org/officeDocument/2006/relationships/queryTable" Target="../queryTables/queryTable1848.xml"/><Relationship Id="rId451" Type="http://schemas.openxmlformats.org/officeDocument/2006/relationships/queryTable" Target="../queryTables/queryTable2013.xml"/><Relationship Id="rId472" Type="http://schemas.openxmlformats.org/officeDocument/2006/relationships/queryTable" Target="../queryTables/queryTable2034.xml"/><Relationship Id="rId493" Type="http://schemas.openxmlformats.org/officeDocument/2006/relationships/queryTable" Target="../queryTables/queryTable2055.xml"/><Relationship Id="rId507" Type="http://schemas.openxmlformats.org/officeDocument/2006/relationships/queryTable" Target="../queryTables/queryTable2069.xml"/><Relationship Id="rId528" Type="http://schemas.openxmlformats.org/officeDocument/2006/relationships/queryTable" Target="../queryTables/queryTable2090.xml"/><Relationship Id="rId50" Type="http://schemas.openxmlformats.org/officeDocument/2006/relationships/queryTable" Target="../queryTables/queryTable1612.xml"/><Relationship Id="rId104" Type="http://schemas.openxmlformats.org/officeDocument/2006/relationships/queryTable" Target="../queryTables/queryTable1666.xml"/><Relationship Id="rId125" Type="http://schemas.openxmlformats.org/officeDocument/2006/relationships/queryTable" Target="../queryTables/queryTable1687.xml"/><Relationship Id="rId146" Type="http://schemas.openxmlformats.org/officeDocument/2006/relationships/queryTable" Target="../queryTables/queryTable1708.xml"/><Relationship Id="rId167" Type="http://schemas.openxmlformats.org/officeDocument/2006/relationships/queryTable" Target="../queryTables/queryTable1729.xml"/><Relationship Id="rId188" Type="http://schemas.openxmlformats.org/officeDocument/2006/relationships/queryTable" Target="../queryTables/queryTable1750.xml"/><Relationship Id="rId311" Type="http://schemas.openxmlformats.org/officeDocument/2006/relationships/queryTable" Target="../queryTables/queryTable1873.xml"/><Relationship Id="rId332" Type="http://schemas.openxmlformats.org/officeDocument/2006/relationships/queryTable" Target="../queryTables/queryTable1894.xml"/><Relationship Id="rId353" Type="http://schemas.openxmlformats.org/officeDocument/2006/relationships/queryTable" Target="../queryTables/queryTable1915.xml"/><Relationship Id="rId374" Type="http://schemas.openxmlformats.org/officeDocument/2006/relationships/queryTable" Target="../queryTables/queryTable1936.xml"/><Relationship Id="rId395" Type="http://schemas.openxmlformats.org/officeDocument/2006/relationships/queryTable" Target="../queryTables/queryTable1957.xml"/><Relationship Id="rId409" Type="http://schemas.openxmlformats.org/officeDocument/2006/relationships/queryTable" Target="../queryTables/queryTable1971.xml"/><Relationship Id="rId71" Type="http://schemas.openxmlformats.org/officeDocument/2006/relationships/queryTable" Target="../queryTables/queryTable1633.xml"/><Relationship Id="rId92" Type="http://schemas.openxmlformats.org/officeDocument/2006/relationships/queryTable" Target="../queryTables/queryTable1654.xml"/><Relationship Id="rId213" Type="http://schemas.openxmlformats.org/officeDocument/2006/relationships/queryTable" Target="../queryTables/queryTable1775.xml"/><Relationship Id="rId234" Type="http://schemas.openxmlformats.org/officeDocument/2006/relationships/queryTable" Target="../queryTables/queryTable1796.xml"/><Relationship Id="rId420" Type="http://schemas.openxmlformats.org/officeDocument/2006/relationships/queryTable" Target="../queryTables/queryTable1982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591.xml"/><Relationship Id="rId255" Type="http://schemas.openxmlformats.org/officeDocument/2006/relationships/queryTable" Target="../queryTables/queryTable1817.xml"/><Relationship Id="rId276" Type="http://schemas.openxmlformats.org/officeDocument/2006/relationships/queryTable" Target="../queryTables/queryTable1838.xml"/><Relationship Id="rId297" Type="http://schemas.openxmlformats.org/officeDocument/2006/relationships/queryTable" Target="../queryTables/queryTable1859.xml"/><Relationship Id="rId441" Type="http://schemas.openxmlformats.org/officeDocument/2006/relationships/queryTable" Target="../queryTables/queryTable2003.xml"/><Relationship Id="rId462" Type="http://schemas.openxmlformats.org/officeDocument/2006/relationships/queryTable" Target="../queryTables/queryTable2024.xml"/><Relationship Id="rId483" Type="http://schemas.openxmlformats.org/officeDocument/2006/relationships/queryTable" Target="../queryTables/queryTable2045.xml"/><Relationship Id="rId518" Type="http://schemas.openxmlformats.org/officeDocument/2006/relationships/queryTable" Target="../queryTables/queryTable2080.xml"/><Relationship Id="rId539" Type="http://schemas.openxmlformats.org/officeDocument/2006/relationships/queryTable" Target="../queryTables/queryTable2101.xml"/><Relationship Id="rId40" Type="http://schemas.openxmlformats.org/officeDocument/2006/relationships/queryTable" Target="../queryTables/queryTable1602.xml"/><Relationship Id="rId115" Type="http://schemas.openxmlformats.org/officeDocument/2006/relationships/queryTable" Target="../queryTables/queryTable1677.xml"/><Relationship Id="rId136" Type="http://schemas.openxmlformats.org/officeDocument/2006/relationships/queryTable" Target="../queryTables/queryTable1698.xml"/><Relationship Id="rId157" Type="http://schemas.openxmlformats.org/officeDocument/2006/relationships/queryTable" Target="../queryTables/queryTable1719.xml"/><Relationship Id="rId178" Type="http://schemas.openxmlformats.org/officeDocument/2006/relationships/queryTable" Target="../queryTables/queryTable1740.xml"/><Relationship Id="rId301" Type="http://schemas.openxmlformats.org/officeDocument/2006/relationships/queryTable" Target="../queryTables/queryTable1863.xml"/><Relationship Id="rId322" Type="http://schemas.openxmlformats.org/officeDocument/2006/relationships/queryTable" Target="../queryTables/queryTable1884.xml"/><Relationship Id="rId343" Type="http://schemas.openxmlformats.org/officeDocument/2006/relationships/queryTable" Target="../queryTables/queryTable1905.xml"/><Relationship Id="rId364" Type="http://schemas.openxmlformats.org/officeDocument/2006/relationships/queryTable" Target="../queryTables/queryTable1926.xml"/><Relationship Id="rId61" Type="http://schemas.openxmlformats.org/officeDocument/2006/relationships/queryTable" Target="../queryTables/queryTable1623.xml"/><Relationship Id="rId82" Type="http://schemas.openxmlformats.org/officeDocument/2006/relationships/queryTable" Target="../queryTables/queryTable1644.xml"/><Relationship Id="rId199" Type="http://schemas.openxmlformats.org/officeDocument/2006/relationships/queryTable" Target="../queryTables/queryTable1761.xml"/><Relationship Id="rId203" Type="http://schemas.openxmlformats.org/officeDocument/2006/relationships/queryTable" Target="../queryTables/queryTable1765.xml"/><Relationship Id="rId385" Type="http://schemas.openxmlformats.org/officeDocument/2006/relationships/queryTable" Target="../queryTables/queryTable1947.xml"/><Relationship Id="rId19" Type="http://schemas.openxmlformats.org/officeDocument/2006/relationships/queryTable" Target="../queryTables/queryTable1581.xml"/><Relationship Id="rId224" Type="http://schemas.openxmlformats.org/officeDocument/2006/relationships/queryTable" Target="../queryTables/queryTable1786.xml"/><Relationship Id="rId245" Type="http://schemas.openxmlformats.org/officeDocument/2006/relationships/queryTable" Target="../queryTables/queryTable1807.xml"/><Relationship Id="rId266" Type="http://schemas.openxmlformats.org/officeDocument/2006/relationships/queryTable" Target="../queryTables/queryTable1828.xml"/><Relationship Id="rId287" Type="http://schemas.openxmlformats.org/officeDocument/2006/relationships/queryTable" Target="../queryTables/queryTable1849.xml"/><Relationship Id="rId410" Type="http://schemas.openxmlformats.org/officeDocument/2006/relationships/queryTable" Target="../queryTables/queryTable1972.xml"/><Relationship Id="rId431" Type="http://schemas.openxmlformats.org/officeDocument/2006/relationships/queryTable" Target="../queryTables/queryTable1993.xml"/><Relationship Id="rId452" Type="http://schemas.openxmlformats.org/officeDocument/2006/relationships/queryTable" Target="../queryTables/queryTable2014.xml"/><Relationship Id="rId473" Type="http://schemas.openxmlformats.org/officeDocument/2006/relationships/queryTable" Target="../queryTables/queryTable2035.xml"/><Relationship Id="rId494" Type="http://schemas.openxmlformats.org/officeDocument/2006/relationships/queryTable" Target="../queryTables/queryTable2056.xml"/><Relationship Id="rId508" Type="http://schemas.openxmlformats.org/officeDocument/2006/relationships/queryTable" Target="../queryTables/queryTable2070.xml"/><Relationship Id="rId529" Type="http://schemas.openxmlformats.org/officeDocument/2006/relationships/queryTable" Target="../queryTables/queryTable2091.xml"/><Relationship Id="rId30" Type="http://schemas.openxmlformats.org/officeDocument/2006/relationships/queryTable" Target="../queryTables/queryTable1592.xml"/><Relationship Id="rId105" Type="http://schemas.openxmlformats.org/officeDocument/2006/relationships/queryTable" Target="../queryTables/queryTable1667.xml"/><Relationship Id="rId126" Type="http://schemas.openxmlformats.org/officeDocument/2006/relationships/queryTable" Target="../queryTables/queryTable1688.xml"/><Relationship Id="rId147" Type="http://schemas.openxmlformats.org/officeDocument/2006/relationships/queryTable" Target="../queryTables/queryTable1709.xml"/><Relationship Id="rId168" Type="http://schemas.openxmlformats.org/officeDocument/2006/relationships/queryTable" Target="../queryTables/queryTable1730.xml"/><Relationship Id="rId312" Type="http://schemas.openxmlformats.org/officeDocument/2006/relationships/queryTable" Target="../queryTables/queryTable1874.xml"/><Relationship Id="rId333" Type="http://schemas.openxmlformats.org/officeDocument/2006/relationships/queryTable" Target="../queryTables/queryTable1895.xml"/><Relationship Id="rId354" Type="http://schemas.openxmlformats.org/officeDocument/2006/relationships/queryTable" Target="../queryTables/queryTable1916.xml"/><Relationship Id="rId540" Type="http://schemas.openxmlformats.org/officeDocument/2006/relationships/queryTable" Target="../queryTables/queryTable2102.xml"/><Relationship Id="rId51" Type="http://schemas.openxmlformats.org/officeDocument/2006/relationships/queryTable" Target="../queryTables/queryTable1613.xml"/><Relationship Id="rId72" Type="http://schemas.openxmlformats.org/officeDocument/2006/relationships/queryTable" Target="../queryTables/queryTable1634.xml"/><Relationship Id="rId93" Type="http://schemas.openxmlformats.org/officeDocument/2006/relationships/queryTable" Target="../queryTables/queryTable1655.xml"/><Relationship Id="rId189" Type="http://schemas.openxmlformats.org/officeDocument/2006/relationships/queryTable" Target="../queryTables/queryTable1751.xml"/><Relationship Id="rId375" Type="http://schemas.openxmlformats.org/officeDocument/2006/relationships/queryTable" Target="../queryTables/queryTable1937.xml"/><Relationship Id="rId396" Type="http://schemas.openxmlformats.org/officeDocument/2006/relationships/queryTable" Target="../queryTables/queryTable1958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76.xml"/><Relationship Id="rId235" Type="http://schemas.openxmlformats.org/officeDocument/2006/relationships/queryTable" Target="../queryTables/queryTable1797.xml"/><Relationship Id="rId256" Type="http://schemas.openxmlformats.org/officeDocument/2006/relationships/queryTable" Target="../queryTables/queryTable1818.xml"/><Relationship Id="rId277" Type="http://schemas.openxmlformats.org/officeDocument/2006/relationships/queryTable" Target="../queryTables/queryTable1839.xml"/><Relationship Id="rId298" Type="http://schemas.openxmlformats.org/officeDocument/2006/relationships/queryTable" Target="../queryTables/queryTable1860.xml"/><Relationship Id="rId400" Type="http://schemas.openxmlformats.org/officeDocument/2006/relationships/queryTable" Target="../queryTables/queryTable1962.xml"/><Relationship Id="rId421" Type="http://schemas.openxmlformats.org/officeDocument/2006/relationships/queryTable" Target="../queryTables/queryTable1983.xml"/><Relationship Id="rId442" Type="http://schemas.openxmlformats.org/officeDocument/2006/relationships/queryTable" Target="../queryTables/queryTable2004.xml"/><Relationship Id="rId463" Type="http://schemas.openxmlformats.org/officeDocument/2006/relationships/queryTable" Target="../queryTables/queryTable2025.xml"/><Relationship Id="rId484" Type="http://schemas.openxmlformats.org/officeDocument/2006/relationships/queryTable" Target="../queryTables/queryTable2046.xml"/><Relationship Id="rId519" Type="http://schemas.openxmlformats.org/officeDocument/2006/relationships/queryTable" Target="../queryTables/queryTable2081.xml"/><Relationship Id="rId116" Type="http://schemas.openxmlformats.org/officeDocument/2006/relationships/queryTable" Target="../queryTables/queryTable1678.xml"/><Relationship Id="rId137" Type="http://schemas.openxmlformats.org/officeDocument/2006/relationships/queryTable" Target="../queryTables/queryTable1699.xml"/><Relationship Id="rId158" Type="http://schemas.openxmlformats.org/officeDocument/2006/relationships/queryTable" Target="../queryTables/queryTable1720.xml"/><Relationship Id="rId302" Type="http://schemas.openxmlformats.org/officeDocument/2006/relationships/queryTable" Target="../queryTables/queryTable1864.xml"/><Relationship Id="rId323" Type="http://schemas.openxmlformats.org/officeDocument/2006/relationships/queryTable" Target="../queryTables/queryTable1885.xml"/><Relationship Id="rId344" Type="http://schemas.openxmlformats.org/officeDocument/2006/relationships/queryTable" Target="../queryTables/queryTable1906.xml"/><Relationship Id="rId530" Type="http://schemas.openxmlformats.org/officeDocument/2006/relationships/queryTable" Target="../queryTables/queryTable2092.xml"/><Relationship Id="rId20" Type="http://schemas.openxmlformats.org/officeDocument/2006/relationships/queryTable" Target="../queryTables/queryTable1582.xml"/><Relationship Id="rId41" Type="http://schemas.openxmlformats.org/officeDocument/2006/relationships/queryTable" Target="../queryTables/queryTable1603.xml"/><Relationship Id="rId62" Type="http://schemas.openxmlformats.org/officeDocument/2006/relationships/queryTable" Target="../queryTables/queryTable1624.xml"/><Relationship Id="rId83" Type="http://schemas.openxmlformats.org/officeDocument/2006/relationships/queryTable" Target="../queryTables/queryTable1645.xml"/><Relationship Id="rId179" Type="http://schemas.openxmlformats.org/officeDocument/2006/relationships/queryTable" Target="../queryTables/queryTable1741.xml"/><Relationship Id="rId365" Type="http://schemas.openxmlformats.org/officeDocument/2006/relationships/queryTable" Target="../queryTables/queryTable1927.xml"/><Relationship Id="rId386" Type="http://schemas.openxmlformats.org/officeDocument/2006/relationships/queryTable" Target="../queryTables/queryTable1948.xml"/><Relationship Id="rId190" Type="http://schemas.openxmlformats.org/officeDocument/2006/relationships/queryTable" Target="../queryTables/queryTable1752.xml"/><Relationship Id="rId204" Type="http://schemas.openxmlformats.org/officeDocument/2006/relationships/queryTable" Target="../queryTables/queryTable1766.xml"/><Relationship Id="rId225" Type="http://schemas.openxmlformats.org/officeDocument/2006/relationships/queryTable" Target="../queryTables/queryTable1787.xml"/><Relationship Id="rId246" Type="http://schemas.openxmlformats.org/officeDocument/2006/relationships/queryTable" Target="../queryTables/queryTable1808.xml"/><Relationship Id="rId267" Type="http://schemas.openxmlformats.org/officeDocument/2006/relationships/queryTable" Target="../queryTables/queryTable1829.xml"/><Relationship Id="rId288" Type="http://schemas.openxmlformats.org/officeDocument/2006/relationships/queryTable" Target="../queryTables/queryTable1850.xml"/><Relationship Id="rId411" Type="http://schemas.openxmlformats.org/officeDocument/2006/relationships/queryTable" Target="../queryTables/queryTable1973.xml"/><Relationship Id="rId432" Type="http://schemas.openxmlformats.org/officeDocument/2006/relationships/queryTable" Target="../queryTables/queryTable1994.xml"/><Relationship Id="rId453" Type="http://schemas.openxmlformats.org/officeDocument/2006/relationships/queryTable" Target="../queryTables/queryTable2015.xml"/><Relationship Id="rId474" Type="http://schemas.openxmlformats.org/officeDocument/2006/relationships/queryTable" Target="../queryTables/queryTable2036.xml"/><Relationship Id="rId509" Type="http://schemas.openxmlformats.org/officeDocument/2006/relationships/queryTable" Target="../queryTables/queryTable2071.xml"/><Relationship Id="rId106" Type="http://schemas.openxmlformats.org/officeDocument/2006/relationships/queryTable" Target="../queryTables/queryTable1668.xml"/><Relationship Id="rId127" Type="http://schemas.openxmlformats.org/officeDocument/2006/relationships/queryTable" Target="../queryTables/queryTable1689.xml"/><Relationship Id="rId313" Type="http://schemas.openxmlformats.org/officeDocument/2006/relationships/queryTable" Target="../queryTables/queryTable1875.xml"/><Relationship Id="rId495" Type="http://schemas.openxmlformats.org/officeDocument/2006/relationships/queryTable" Target="../queryTables/queryTable2057.xml"/><Relationship Id="rId10" Type="http://schemas.openxmlformats.org/officeDocument/2006/relationships/queryTable" Target="../queryTables/queryTable1572.xml"/><Relationship Id="rId31" Type="http://schemas.openxmlformats.org/officeDocument/2006/relationships/queryTable" Target="../queryTables/queryTable1593.xml"/><Relationship Id="rId52" Type="http://schemas.openxmlformats.org/officeDocument/2006/relationships/queryTable" Target="../queryTables/queryTable1614.xml"/><Relationship Id="rId73" Type="http://schemas.openxmlformats.org/officeDocument/2006/relationships/queryTable" Target="../queryTables/queryTable1635.xml"/><Relationship Id="rId94" Type="http://schemas.openxmlformats.org/officeDocument/2006/relationships/queryTable" Target="../queryTables/queryTable1656.xml"/><Relationship Id="rId148" Type="http://schemas.openxmlformats.org/officeDocument/2006/relationships/queryTable" Target="../queryTables/queryTable1710.xml"/><Relationship Id="rId169" Type="http://schemas.openxmlformats.org/officeDocument/2006/relationships/queryTable" Target="../queryTables/queryTable1731.xml"/><Relationship Id="rId334" Type="http://schemas.openxmlformats.org/officeDocument/2006/relationships/queryTable" Target="../queryTables/queryTable1896.xml"/><Relationship Id="rId355" Type="http://schemas.openxmlformats.org/officeDocument/2006/relationships/queryTable" Target="../queryTables/queryTable1917.xml"/><Relationship Id="rId376" Type="http://schemas.openxmlformats.org/officeDocument/2006/relationships/queryTable" Target="../queryTables/queryTable1938.xml"/><Relationship Id="rId397" Type="http://schemas.openxmlformats.org/officeDocument/2006/relationships/queryTable" Target="../queryTables/queryTable1959.xml"/><Relationship Id="rId520" Type="http://schemas.openxmlformats.org/officeDocument/2006/relationships/queryTable" Target="../queryTables/queryTable2082.xml"/><Relationship Id="rId541" Type="http://schemas.openxmlformats.org/officeDocument/2006/relationships/queryTable" Target="../queryTables/queryTable2103.xml"/><Relationship Id="rId4" Type="http://schemas.openxmlformats.org/officeDocument/2006/relationships/queryTable" Target="../queryTables/queryTable1566.xml"/><Relationship Id="rId180" Type="http://schemas.openxmlformats.org/officeDocument/2006/relationships/queryTable" Target="../queryTables/queryTable1742.xml"/><Relationship Id="rId215" Type="http://schemas.openxmlformats.org/officeDocument/2006/relationships/queryTable" Target="../queryTables/queryTable1777.xml"/><Relationship Id="rId236" Type="http://schemas.openxmlformats.org/officeDocument/2006/relationships/queryTable" Target="../queryTables/queryTable1798.xml"/><Relationship Id="rId257" Type="http://schemas.openxmlformats.org/officeDocument/2006/relationships/queryTable" Target="../queryTables/queryTable1819.xml"/><Relationship Id="rId278" Type="http://schemas.openxmlformats.org/officeDocument/2006/relationships/queryTable" Target="../queryTables/queryTable1840.xml"/><Relationship Id="rId401" Type="http://schemas.openxmlformats.org/officeDocument/2006/relationships/queryTable" Target="../queryTables/queryTable1963.xml"/><Relationship Id="rId422" Type="http://schemas.openxmlformats.org/officeDocument/2006/relationships/queryTable" Target="../queryTables/queryTable1984.xml"/><Relationship Id="rId443" Type="http://schemas.openxmlformats.org/officeDocument/2006/relationships/queryTable" Target="../queryTables/queryTable2005.xml"/><Relationship Id="rId464" Type="http://schemas.openxmlformats.org/officeDocument/2006/relationships/queryTable" Target="../queryTables/queryTable2026.xml"/><Relationship Id="rId303" Type="http://schemas.openxmlformats.org/officeDocument/2006/relationships/queryTable" Target="../queryTables/queryTable1865.xml"/><Relationship Id="rId485" Type="http://schemas.openxmlformats.org/officeDocument/2006/relationships/queryTable" Target="../queryTables/queryTable2047.xml"/><Relationship Id="rId42" Type="http://schemas.openxmlformats.org/officeDocument/2006/relationships/queryTable" Target="../queryTables/queryTable1604.xml"/><Relationship Id="rId84" Type="http://schemas.openxmlformats.org/officeDocument/2006/relationships/queryTable" Target="../queryTables/queryTable1646.xml"/><Relationship Id="rId138" Type="http://schemas.openxmlformats.org/officeDocument/2006/relationships/queryTable" Target="../queryTables/queryTable1700.xml"/><Relationship Id="rId345" Type="http://schemas.openxmlformats.org/officeDocument/2006/relationships/queryTable" Target="../queryTables/queryTable1907.xml"/><Relationship Id="rId387" Type="http://schemas.openxmlformats.org/officeDocument/2006/relationships/queryTable" Target="../queryTables/queryTable1949.xml"/><Relationship Id="rId510" Type="http://schemas.openxmlformats.org/officeDocument/2006/relationships/queryTable" Target="../queryTables/queryTable2072.xml"/><Relationship Id="rId191" Type="http://schemas.openxmlformats.org/officeDocument/2006/relationships/queryTable" Target="../queryTables/queryTable1753.xml"/><Relationship Id="rId205" Type="http://schemas.openxmlformats.org/officeDocument/2006/relationships/queryTable" Target="../queryTables/queryTable1767.xml"/><Relationship Id="rId247" Type="http://schemas.openxmlformats.org/officeDocument/2006/relationships/queryTable" Target="../queryTables/queryTable1809.xml"/><Relationship Id="rId412" Type="http://schemas.openxmlformats.org/officeDocument/2006/relationships/queryTable" Target="../queryTables/queryTable1974.xml"/><Relationship Id="rId107" Type="http://schemas.openxmlformats.org/officeDocument/2006/relationships/queryTable" Target="../queryTables/queryTable1669.xml"/><Relationship Id="rId289" Type="http://schemas.openxmlformats.org/officeDocument/2006/relationships/queryTable" Target="../queryTables/queryTable1851.xml"/><Relationship Id="rId454" Type="http://schemas.openxmlformats.org/officeDocument/2006/relationships/queryTable" Target="../queryTables/queryTable2016.xml"/><Relationship Id="rId496" Type="http://schemas.openxmlformats.org/officeDocument/2006/relationships/queryTable" Target="../queryTables/queryTable2058.xml"/><Relationship Id="rId11" Type="http://schemas.openxmlformats.org/officeDocument/2006/relationships/queryTable" Target="../queryTables/queryTable1573.xml"/><Relationship Id="rId53" Type="http://schemas.openxmlformats.org/officeDocument/2006/relationships/queryTable" Target="../queryTables/queryTable1615.xml"/><Relationship Id="rId149" Type="http://schemas.openxmlformats.org/officeDocument/2006/relationships/queryTable" Target="../queryTables/queryTable1711.xml"/><Relationship Id="rId314" Type="http://schemas.openxmlformats.org/officeDocument/2006/relationships/queryTable" Target="../queryTables/queryTable1876.xml"/><Relationship Id="rId356" Type="http://schemas.openxmlformats.org/officeDocument/2006/relationships/queryTable" Target="../queryTables/queryTable1918.xml"/><Relationship Id="rId398" Type="http://schemas.openxmlformats.org/officeDocument/2006/relationships/queryTable" Target="../queryTables/queryTable1960.xml"/><Relationship Id="rId521" Type="http://schemas.openxmlformats.org/officeDocument/2006/relationships/queryTable" Target="../queryTables/queryTable2083.xml"/><Relationship Id="rId95" Type="http://schemas.openxmlformats.org/officeDocument/2006/relationships/queryTable" Target="../queryTables/queryTable1657.xml"/><Relationship Id="rId160" Type="http://schemas.openxmlformats.org/officeDocument/2006/relationships/queryTable" Target="../queryTables/queryTable1722.xml"/><Relationship Id="rId216" Type="http://schemas.openxmlformats.org/officeDocument/2006/relationships/queryTable" Target="../queryTables/queryTable1778.xml"/><Relationship Id="rId423" Type="http://schemas.openxmlformats.org/officeDocument/2006/relationships/queryTable" Target="../queryTables/queryTable1985.xml"/><Relationship Id="rId258" Type="http://schemas.openxmlformats.org/officeDocument/2006/relationships/queryTable" Target="../queryTables/queryTable1820.xml"/><Relationship Id="rId465" Type="http://schemas.openxmlformats.org/officeDocument/2006/relationships/queryTable" Target="../queryTables/queryTable2027.xml"/><Relationship Id="rId22" Type="http://schemas.openxmlformats.org/officeDocument/2006/relationships/queryTable" Target="../queryTables/queryTable1584.xml"/><Relationship Id="rId64" Type="http://schemas.openxmlformats.org/officeDocument/2006/relationships/queryTable" Target="../queryTables/queryTable1626.xml"/><Relationship Id="rId118" Type="http://schemas.openxmlformats.org/officeDocument/2006/relationships/queryTable" Target="../queryTables/queryTable1680.xml"/><Relationship Id="rId325" Type="http://schemas.openxmlformats.org/officeDocument/2006/relationships/queryTable" Target="../queryTables/queryTable1887.xml"/><Relationship Id="rId367" Type="http://schemas.openxmlformats.org/officeDocument/2006/relationships/queryTable" Target="../queryTables/queryTable1929.xml"/><Relationship Id="rId532" Type="http://schemas.openxmlformats.org/officeDocument/2006/relationships/queryTable" Target="../queryTables/queryTable2094.xml"/><Relationship Id="rId171" Type="http://schemas.openxmlformats.org/officeDocument/2006/relationships/queryTable" Target="../queryTables/queryTable1733.xml"/><Relationship Id="rId227" Type="http://schemas.openxmlformats.org/officeDocument/2006/relationships/queryTable" Target="../queryTables/queryTable1789.xml"/><Relationship Id="rId269" Type="http://schemas.openxmlformats.org/officeDocument/2006/relationships/queryTable" Target="../queryTables/queryTable1831.xml"/><Relationship Id="rId434" Type="http://schemas.openxmlformats.org/officeDocument/2006/relationships/queryTable" Target="../queryTables/queryTable1996.xml"/><Relationship Id="rId476" Type="http://schemas.openxmlformats.org/officeDocument/2006/relationships/queryTable" Target="../queryTables/queryTable2038.xml"/><Relationship Id="rId33" Type="http://schemas.openxmlformats.org/officeDocument/2006/relationships/queryTable" Target="../queryTables/queryTable1595.xml"/><Relationship Id="rId129" Type="http://schemas.openxmlformats.org/officeDocument/2006/relationships/queryTable" Target="../queryTables/queryTable1691.xml"/><Relationship Id="rId280" Type="http://schemas.openxmlformats.org/officeDocument/2006/relationships/queryTable" Target="../queryTables/queryTable1842.xml"/><Relationship Id="rId336" Type="http://schemas.openxmlformats.org/officeDocument/2006/relationships/queryTable" Target="../queryTables/queryTable1898.xml"/><Relationship Id="rId501" Type="http://schemas.openxmlformats.org/officeDocument/2006/relationships/queryTable" Target="../queryTables/queryTable2063.xml"/><Relationship Id="rId75" Type="http://schemas.openxmlformats.org/officeDocument/2006/relationships/queryTable" Target="../queryTables/queryTable1637.xml"/><Relationship Id="rId140" Type="http://schemas.openxmlformats.org/officeDocument/2006/relationships/queryTable" Target="../queryTables/queryTable1702.xml"/><Relationship Id="rId182" Type="http://schemas.openxmlformats.org/officeDocument/2006/relationships/queryTable" Target="../queryTables/queryTable1744.xml"/><Relationship Id="rId378" Type="http://schemas.openxmlformats.org/officeDocument/2006/relationships/queryTable" Target="../queryTables/queryTable1940.xml"/><Relationship Id="rId403" Type="http://schemas.openxmlformats.org/officeDocument/2006/relationships/queryTable" Target="../queryTables/queryTable1965.xml"/><Relationship Id="rId6" Type="http://schemas.openxmlformats.org/officeDocument/2006/relationships/queryTable" Target="../queryTables/queryTable1568.xml"/><Relationship Id="rId238" Type="http://schemas.openxmlformats.org/officeDocument/2006/relationships/queryTable" Target="../queryTables/queryTable1800.xml"/><Relationship Id="rId445" Type="http://schemas.openxmlformats.org/officeDocument/2006/relationships/queryTable" Target="../queryTables/queryTable2007.xml"/><Relationship Id="rId487" Type="http://schemas.openxmlformats.org/officeDocument/2006/relationships/queryTable" Target="../queryTables/queryTable2049.xml"/><Relationship Id="rId291" Type="http://schemas.openxmlformats.org/officeDocument/2006/relationships/queryTable" Target="../queryTables/queryTable1853.xml"/><Relationship Id="rId305" Type="http://schemas.openxmlformats.org/officeDocument/2006/relationships/queryTable" Target="../queryTables/queryTable1867.xml"/><Relationship Id="rId347" Type="http://schemas.openxmlformats.org/officeDocument/2006/relationships/queryTable" Target="../queryTables/queryTable1909.xml"/><Relationship Id="rId512" Type="http://schemas.openxmlformats.org/officeDocument/2006/relationships/queryTable" Target="../queryTables/queryTable2074.xml"/><Relationship Id="rId44" Type="http://schemas.openxmlformats.org/officeDocument/2006/relationships/queryTable" Target="../queryTables/queryTable1606.xml"/><Relationship Id="rId86" Type="http://schemas.openxmlformats.org/officeDocument/2006/relationships/queryTable" Target="../queryTables/queryTable1648.xml"/><Relationship Id="rId151" Type="http://schemas.openxmlformats.org/officeDocument/2006/relationships/queryTable" Target="../queryTables/queryTable1713.xml"/><Relationship Id="rId389" Type="http://schemas.openxmlformats.org/officeDocument/2006/relationships/queryTable" Target="../queryTables/queryTable1951.xml"/><Relationship Id="rId193" Type="http://schemas.openxmlformats.org/officeDocument/2006/relationships/queryTable" Target="../queryTables/queryTable1755.xml"/><Relationship Id="rId207" Type="http://schemas.openxmlformats.org/officeDocument/2006/relationships/queryTable" Target="../queryTables/queryTable1769.xml"/><Relationship Id="rId249" Type="http://schemas.openxmlformats.org/officeDocument/2006/relationships/queryTable" Target="../queryTables/queryTable1811.xml"/><Relationship Id="rId414" Type="http://schemas.openxmlformats.org/officeDocument/2006/relationships/queryTable" Target="../queryTables/queryTable1976.xml"/><Relationship Id="rId456" Type="http://schemas.openxmlformats.org/officeDocument/2006/relationships/queryTable" Target="../queryTables/queryTable2018.xml"/><Relationship Id="rId498" Type="http://schemas.openxmlformats.org/officeDocument/2006/relationships/queryTable" Target="../queryTables/queryTable2060.xml"/><Relationship Id="rId13" Type="http://schemas.openxmlformats.org/officeDocument/2006/relationships/queryTable" Target="../queryTables/queryTable1575.xml"/><Relationship Id="rId109" Type="http://schemas.openxmlformats.org/officeDocument/2006/relationships/queryTable" Target="../queryTables/queryTable1671.xml"/><Relationship Id="rId260" Type="http://schemas.openxmlformats.org/officeDocument/2006/relationships/queryTable" Target="../queryTables/queryTable1822.xml"/><Relationship Id="rId316" Type="http://schemas.openxmlformats.org/officeDocument/2006/relationships/queryTable" Target="../queryTables/queryTable1878.xml"/><Relationship Id="rId523" Type="http://schemas.openxmlformats.org/officeDocument/2006/relationships/queryTable" Target="../queryTables/queryTable2085.xml"/><Relationship Id="rId55" Type="http://schemas.openxmlformats.org/officeDocument/2006/relationships/queryTable" Target="../queryTables/queryTable1617.xml"/><Relationship Id="rId97" Type="http://schemas.openxmlformats.org/officeDocument/2006/relationships/queryTable" Target="../queryTables/queryTable1659.xml"/><Relationship Id="rId120" Type="http://schemas.openxmlformats.org/officeDocument/2006/relationships/queryTable" Target="../queryTables/queryTable1682.xml"/><Relationship Id="rId358" Type="http://schemas.openxmlformats.org/officeDocument/2006/relationships/queryTable" Target="../queryTables/queryTable1920.xml"/><Relationship Id="rId162" Type="http://schemas.openxmlformats.org/officeDocument/2006/relationships/queryTable" Target="../queryTables/queryTable1724.xml"/><Relationship Id="rId218" Type="http://schemas.openxmlformats.org/officeDocument/2006/relationships/queryTable" Target="../queryTables/queryTable1780.xml"/><Relationship Id="rId425" Type="http://schemas.openxmlformats.org/officeDocument/2006/relationships/queryTable" Target="../queryTables/queryTable1987.xml"/><Relationship Id="rId467" Type="http://schemas.openxmlformats.org/officeDocument/2006/relationships/queryTable" Target="../queryTables/queryTable2029.xml"/><Relationship Id="rId271" Type="http://schemas.openxmlformats.org/officeDocument/2006/relationships/queryTable" Target="../queryTables/queryTable1833.xml"/><Relationship Id="rId24" Type="http://schemas.openxmlformats.org/officeDocument/2006/relationships/queryTable" Target="../queryTables/queryTable1586.xml"/><Relationship Id="rId66" Type="http://schemas.openxmlformats.org/officeDocument/2006/relationships/queryTable" Target="../queryTables/queryTable1628.xml"/><Relationship Id="rId131" Type="http://schemas.openxmlformats.org/officeDocument/2006/relationships/queryTable" Target="../queryTables/queryTable1693.xml"/><Relationship Id="rId327" Type="http://schemas.openxmlformats.org/officeDocument/2006/relationships/queryTable" Target="../queryTables/queryTable1889.xml"/><Relationship Id="rId369" Type="http://schemas.openxmlformats.org/officeDocument/2006/relationships/queryTable" Target="../queryTables/queryTable1931.xml"/><Relationship Id="rId534" Type="http://schemas.openxmlformats.org/officeDocument/2006/relationships/queryTable" Target="../queryTables/queryTable2096.xml"/><Relationship Id="rId173" Type="http://schemas.openxmlformats.org/officeDocument/2006/relationships/queryTable" Target="../queryTables/queryTable1735.xml"/><Relationship Id="rId229" Type="http://schemas.openxmlformats.org/officeDocument/2006/relationships/queryTable" Target="../queryTables/queryTable1791.xml"/><Relationship Id="rId380" Type="http://schemas.openxmlformats.org/officeDocument/2006/relationships/queryTable" Target="../queryTables/queryTable1942.xml"/><Relationship Id="rId436" Type="http://schemas.openxmlformats.org/officeDocument/2006/relationships/queryTable" Target="../queryTables/queryTable1998.xml"/><Relationship Id="rId240" Type="http://schemas.openxmlformats.org/officeDocument/2006/relationships/queryTable" Target="../queryTables/queryTable1802.xml"/><Relationship Id="rId478" Type="http://schemas.openxmlformats.org/officeDocument/2006/relationships/queryTable" Target="../queryTables/queryTable2040.xml"/><Relationship Id="rId35" Type="http://schemas.openxmlformats.org/officeDocument/2006/relationships/queryTable" Target="../queryTables/queryTable1597.xml"/><Relationship Id="rId77" Type="http://schemas.openxmlformats.org/officeDocument/2006/relationships/queryTable" Target="../queryTables/queryTable1639.xml"/><Relationship Id="rId100" Type="http://schemas.openxmlformats.org/officeDocument/2006/relationships/queryTable" Target="../queryTables/queryTable1662.xml"/><Relationship Id="rId282" Type="http://schemas.openxmlformats.org/officeDocument/2006/relationships/queryTable" Target="../queryTables/queryTable1844.xml"/><Relationship Id="rId338" Type="http://schemas.openxmlformats.org/officeDocument/2006/relationships/queryTable" Target="../queryTables/queryTable1900.xml"/><Relationship Id="rId503" Type="http://schemas.openxmlformats.org/officeDocument/2006/relationships/queryTable" Target="../queryTables/queryTable2065.xml"/><Relationship Id="rId8" Type="http://schemas.openxmlformats.org/officeDocument/2006/relationships/queryTable" Target="../queryTables/queryTable1570.xml"/><Relationship Id="rId142" Type="http://schemas.openxmlformats.org/officeDocument/2006/relationships/queryTable" Target="../queryTables/queryTable1704.xml"/><Relationship Id="rId184" Type="http://schemas.openxmlformats.org/officeDocument/2006/relationships/queryTable" Target="../queryTables/queryTable1746.xml"/><Relationship Id="rId391" Type="http://schemas.openxmlformats.org/officeDocument/2006/relationships/queryTable" Target="../queryTables/queryTable1953.xml"/><Relationship Id="rId405" Type="http://schemas.openxmlformats.org/officeDocument/2006/relationships/queryTable" Target="../queryTables/queryTable1967.xml"/><Relationship Id="rId447" Type="http://schemas.openxmlformats.org/officeDocument/2006/relationships/queryTable" Target="../queryTables/queryTable2009.xml"/><Relationship Id="rId251" Type="http://schemas.openxmlformats.org/officeDocument/2006/relationships/queryTable" Target="../queryTables/queryTable1813.xml"/><Relationship Id="rId489" Type="http://schemas.openxmlformats.org/officeDocument/2006/relationships/queryTable" Target="../queryTables/queryTable2051.xml"/><Relationship Id="rId46" Type="http://schemas.openxmlformats.org/officeDocument/2006/relationships/queryTable" Target="../queryTables/queryTable1608.xml"/><Relationship Id="rId293" Type="http://schemas.openxmlformats.org/officeDocument/2006/relationships/queryTable" Target="../queryTables/queryTable1855.xml"/><Relationship Id="rId307" Type="http://schemas.openxmlformats.org/officeDocument/2006/relationships/queryTable" Target="../queryTables/queryTable1869.xml"/><Relationship Id="rId349" Type="http://schemas.openxmlformats.org/officeDocument/2006/relationships/queryTable" Target="../queryTables/queryTable1911.xml"/><Relationship Id="rId514" Type="http://schemas.openxmlformats.org/officeDocument/2006/relationships/queryTable" Target="../queryTables/queryTable207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topLeftCell="A382" workbookViewId="0">
      <pane xSplit="5" topLeftCell="P1" activePane="topRight" state="frozen"/>
      <selection pane="topRight" activeCell="Q407" sqref="Q407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7.140625" style="85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0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374</v>
      </c>
      <c r="D1" s="16" t="s">
        <v>63</v>
      </c>
      <c r="E1" s="5" t="s">
        <v>400</v>
      </c>
      <c r="F1" s="56" t="s">
        <v>406</v>
      </c>
      <c r="G1" s="81" t="s">
        <v>428</v>
      </c>
      <c r="H1" s="18" t="s">
        <v>401</v>
      </c>
      <c r="I1" s="23" t="s">
        <v>402</v>
      </c>
      <c r="J1" s="18" t="s">
        <v>416</v>
      </c>
      <c r="K1" s="18" t="s">
        <v>429</v>
      </c>
      <c r="L1" s="18" t="s">
        <v>430</v>
      </c>
      <c r="M1" s="47" t="s">
        <v>1338</v>
      </c>
      <c r="N1" s="47" t="s">
        <v>1330</v>
      </c>
      <c r="O1" s="47" t="s">
        <v>1331</v>
      </c>
      <c r="P1" s="72" t="s">
        <v>3</v>
      </c>
      <c r="Q1" s="72" t="s">
        <v>53</v>
      </c>
      <c r="R1" s="72" t="s">
        <v>1328</v>
      </c>
      <c r="S1" s="47" t="s">
        <v>1329</v>
      </c>
      <c r="T1" s="130" t="s">
        <v>1332</v>
      </c>
      <c r="U1" s="130" t="s">
        <v>1335</v>
      </c>
      <c r="V1" s="18" t="s">
        <v>1333</v>
      </c>
      <c r="W1" s="18" t="s">
        <v>1336</v>
      </c>
      <c r="X1" s="18" t="s">
        <v>1334</v>
      </c>
      <c r="Y1" s="18" t="s">
        <v>1337</v>
      </c>
      <c r="Z1" s="5" t="s">
        <v>411</v>
      </c>
      <c r="AA1" s="5" t="s">
        <v>409</v>
      </c>
      <c r="AB1" s="72" t="s">
        <v>410</v>
      </c>
      <c r="AC1" s="72" t="s">
        <v>420</v>
      </c>
      <c r="AD1" s="56" t="s">
        <v>4</v>
      </c>
      <c r="AE1" s="5" t="s">
        <v>422</v>
      </c>
      <c r="AF1" s="77" t="s">
        <v>84</v>
      </c>
      <c r="AG1" s="77" t="s">
        <v>412</v>
      </c>
      <c r="AH1" s="77" t="s">
        <v>403</v>
      </c>
      <c r="AI1" s="77" t="s">
        <v>404</v>
      </c>
      <c r="AJ1" s="77" t="s">
        <v>421</v>
      </c>
      <c r="AK1" s="5" t="s">
        <v>413</v>
      </c>
      <c r="AL1" s="5" t="s">
        <v>304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418</v>
      </c>
      <c r="AR1" s="77" t="s">
        <v>417</v>
      </c>
      <c r="AS1" s="3" t="s">
        <v>8</v>
      </c>
      <c r="AT1" s="3" t="s">
        <v>292</v>
      </c>
      <c r="AU1" s="18" t="s">
        <v>399</v>
      </c>
      <c r="AV1" s="3" t="s">
        <v>41</v>
      </c>
      <c r="AW1" s="5" t="s">
        <v>60</v>
      </c>
      <c r="AX1" s="5" t="s">
        <v>234</v>
      </c>
      <c r="AY1" s="5" t="s">
        <v>235</v>
      </c>
      <c r="AZ1" s="3" t="s">
        <v>532</v>
      </c>
      <c r="BA1" s="3" t="s">
        <v>837</v>
      </c>
      <c r="BB1" s="3" t="s">
        <v>1127</v>
      </c>
      <c r="BH1" s="5">
        <v>900</v>
      </c>
    </row>
    <row r="2" spans="1:60" ht="11.25" customHeight="1">
      <c r="A2" s="4" t="s">
        <v>14</v>
      </c>
      <c r="B2" s="57" t="s">
        <v>423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" s="19">
        <f>IF(Tabela3[[#This Row],[Lucro Líquido]]&gt;0,Tabela3[[#This Row],[Lucro Líquido]]/Tabela3[[#This Row],[Patrimônio Líquido]],0)/Tabela3[[#This Row],[Ref]]*4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2.312588816579864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t="11.25" customHeight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1699064769.4599998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" s="19">
        <f>IF(Tabela3[[#This Row],[Lucro Líquido]]&gt;0,Tabela3[[#This Row],[Lucro Líquido]]/Tabela3[[#This Row],[Patrimônio Líquido]],0)/Tabela3[[#This Row],[Ref]]*4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2.312588816579864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11.54</v>
      </c>
      <c r="AO3" s="44">
        <f>[Cotação]/[VPA]</f>
        <v>0.88607315559352107</v>
      </c>
      <c r="AP3" s="40">
        <f>IF(Tabela3[[#This Row],[Lucro/Ação]]&gt;0,Tabela3[[#This Row],[Cotação]]/(Tabela3[[#This Row],[Lucro/Ação]]/[Ref]*4),0)</f>
        <v>6.3335785011723562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3.7498548404513866E-2</v>
      </c>
      <c r="AU3" s="19">
        <f>((1+Tabela3[[#This Row],[% Yield]])^(1/(3*Tabela3[[#This Row],[Ref]])))^(12)-1</f>
        <v>3.7498548404512944E-2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11.54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t="11.25" customHeight="1">
      <c r="A4" s="3" t="s">
        <v>808</v>
      </c>
      <c r="B4" s="58" t="s">
        <v>809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1">
        <v>0.4</v>
      </c>
      <c r="H4" s="87"/>
      <c r="J4" s="18"/>
      <c r="K4" s="16"/>
      <c r="L4" s="87"/>
      <c r="M4" s="54">
        <v>43882834000</v>
      </c>
      <c r="N4" s="54">
        <v>149230000</v>
      </c>
      <c r="O4" s="54">
        <v>957641000</v>
      </c>
      <c r="P4" s="91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262847662216.68002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" s="18">
        <f>IF(Tabela3[[#This Row],[Lucro Líquido]]&gt;0,Tabela3[[#This Row],[Lucro Líquido]]/Tabela3[[#This Row],[Patrimônio Líquido]],0)/Tabela3[[#This Row],[Ref]]*4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2.312588816579864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5">
        <f>[Capital Social]/[Total Ações]</f>
        <v>3.6388881990950548</v>
      </c>
      <c r="AF4" s="85">
        <f>Tabela3[[#This Row],[Lucro Líquido]]/Tabela3[[#This Row],[Total Ações]]</f>
        <v>0.60870535606326115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16.78</v>
      </c>
      <c r="AO4" s="53">
        <f>[Cotação]/[VPA]</f>
        <v>6.1357413653741482</v>
      </c>
      <c r="AP4" s="37">
        <f>IF(Tabela3[[#This Row],[Lucro/Ação]]&gt;0,Tabela3[[#This Row],[Cotação]]/(Tabela3[[#This Row],[Lucro/Ação]]/[Ref]*4),0)</f>
        <v>27.566703385892499</v>
      </c>
      <c r="AQ4" s="85">
        <f>[Lucro Distribuir]/[Total Ações]</f>
        <v>0.57827008826009807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1.3784745846486247E-2</v>
      </c>
      <c r="AU4" s="22">
        <f>((1+Tabela3[[#This Row],[% Yield]])^(1/(3*Tabela3[[#This Row],[Ref]])))^(12)-1</f>
        <v>1.3784745846486368E-2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16.78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t="11.25" customHeight="1">
      <c r="A5" s="3" t="s">
        <v>1011</v>
      </c>
      <c r="B5" s="58" t="s">
        <v>1012</v>
      </c>
      <c r="C5" s="16" t="str">
        <f>LEFT([PAPEL],LEN([PAPEL])-(LEN([PAPEL])-4))</f>
        <v>ABRE</v>
      </c>
      <c r="D5" s="16">
        <v>4</v>
      </c>
      <c r="E5" s="5">
        <v>852449068.54999995</v>
      </c>
      <c r="F5" s="56"/>
      <c r="G5" s="81">
        <v>0.25</v>
      </c>
      <c r="H5" s="87"/>
      <c r="J5" s="18"/>
      <c r="K5" s="16">
        <v>1</v>
      </c>
      <c r="L5" s="87">
        <v>2</v>
      </c>
      <c r="M5" s="54">
        <v>1629667000</v>
      </c>
      <c r="N5" s="54">
        <v>132016000</v>
      </c>
      <c r="O5" s="54">
        <v>48059000</v>
      </c>
      <c r="P5" s="91">
        <v>1576691000</v>
      </c>
      <c r="Q5" s="73">
        <v>72705000</v>
      </c>
      <c r="R5" s="73">
        <f>IF(Tabela3[[#This Row],[Ativo || Passivo]]&gt;0,Tabela3[[#This Row],[Ativo || Passivo]]-Tabela3[[#This Row],[Patrimônio Líquido]],0)</f>
        <v>52976000</v>
      </c>
      <c r="S5" s="73">
        <f>Tabela3[[#This Row],[Cotação]]*Tabela3[[#This Row],[Total Ações]]</f>
        <v>7513770042.7600002</v>
      </c>
      <c r="T5" s="37">
        <f>IF(Tabela3[[#This Row],[Passivo Circulante]]&gt;0,Tabela3[[#This Row],[Ativo Circulante]]/Tabela3[[#This Row],[Passivo Circulante]],0)</f>
        <v>2.7469568655194658</v>
      </c>
      <c r="U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" s="18">
        <f>IF(Tabela3[[#This Row],[Lucro Líquido]]&gt;0,Tabela3[[#This Row],[Lucro Líquido]]/Tabela3[[#This Row],[Patrimônio Líquido]],0)/Tabela3[[#This Row],[Ref]]*4</f>
        <v>4.6112396151179909E-2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" s="18">
        <f>IF(Tabela3[[#This Row],[Dívida]]&gt;0,Tabela3[[#This Row],[Dívida]]/Tabela3[[#This Row],[Patrimônio Líquido]],0)</f>
        <v>3.3599481445635196E-2</v>
      </c>
      <c r="Y5" s="18">
        <f>SUMPRODUCT(N([Dívida / PL]&gt;0),N(RIGHT([PAPEL],LEN([PAPEL])-(LEN([PAPEL])-1))="3"),[Dívida / PL])/SUMPRODUCT(N([Dívida / PL]&gt;0),N(RIGHT([PAPEL],LEN([PAPEL])-(LEN([PAPEL])-1))="3"))</f>
        <v>2.312588816579864</v>
      </c>
      <c r="Z5" s="7">
        <f>Tabela3[[#This Row],[Capital Social]]*20%</f>
        <v>170489813.71000001</v>
      </c>
      <c r="AA5" s="47">
        <f>IF(([Lucro Líquido]*5%)&gt;[Teto R. Legal],[Teto R. Legal],[Lucro Líquido]*5%)</f>
        <v>3635250</v>
      </c>
      <c r="AB5" s="47">
        <f>IF([Lucro Líquido]&lt;0,0,[Lucro Líquido]-[Reserva Legal])</f>
        <v>69069750</v>
      </c>
      <c r="AC5" s="47">
        <f>Tabela3[[#This Row],[Lucro Distribuir]]*[%Div]</f>
        <v>17267437.5</v>
      </c>
      <c r="AD5" s="56">
        <f>SUMPRODUCT(N([Nome]=Tabela3[[#This Row],[Nome]]),[Ações])</f>
        <v>261257651</v>
      </c>
      <c r="AE5" s="85">
        <f>[Capital Social]/[Total Ações]</f>
        <v>3.2628673850780352</v>
      </c>
      <c r="AF5" s="85">
        <f>Tabela3[[#This Row],[Lucro Líquido]]/Tabela3[[#This Row],[Total Ações]]</f>
        <v>0.27828850072605149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17267437.5</v>
      </c>
      <c r="AM5" s="5">
        <f>[Patrimônio Líquido]/[Total Ações]</f>
        <v>6.0350041193626138</v>
      </c>
      <c r="AN5" s="52">
        <f>MAX(Tabela3[[#This Row],[Cotação 1]:[Cotação 5]])</f>
        <v>28.76</v>
      </c>
      <c r="AO5" s="53">
        <f>[Cotação]/[VPA]</f>
        <v>4.7655311299170222</v>
      </c>
      <c r="AP5" s="37">
        <f>IF(Tabela3[[#This Row],[Lucro/Ação]]&gt;0,Tabela3[[#This Row],[Cotação]]/(Tabela3[[#This Row],[Lucro/Ação]]/[Ref]*4),0)</f>
        <v>103.34598779671273</v>
      </c>
      <c r="AQ5" s="85">
        <f>[Lucro Distribuir]/[Total Ações]</f>
        <v>0.26437407568974891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6.8943169946909487E-3</v>
      </c>
      <c r="AU5" s="22">
        <f>((1+Tabela3[[#This Row],[% Yield]])^(1/(3*Tabela3[[#This Row],[Ref]])))^(12)-1</f>
        <v>6.8943169946895644E-3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28.76</v>
      </c>
      <c r="BB5" s="7">
        <f>SUMPRODUCT(N(Tabela17683[Código]=Tabela3[[#This Row],[PAPEL]]),Tabela17683[Fechamento])</f>
        <v>0</v>
      </c>
    </row>
    <row r="6" spans="1:60" ht="11.25" customHeight="1">
      <c r="A6" s="3" t="s">
        <v>1011</v>
      </c>
      <c r="B6" s="58" t="s">
        <v>1013</v>
      </c>
      <c r="C6" s="16" t="str">
        <f>LEFT([PAPEL],LEN([PAPEL])-(LEN([PAPEL])-4))</f>
        <v>ABRE</v>
      </c>
      <c r="D6" s="16">
        <v>4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>
        <v>1629667000</v>
      </c>
      <c r="N6" s="54">
        <v>132016000</v>
      </c>
      <c r="O6" s="54">
        <v>48059000</v>
      </c>
      <c r="P6" s="91">
        <v>1576691000</v>
      </c>
      <c r="Q6" s="73">
        <v>72705000</v>
      </c>
      <c r="R6" s="73">
        <f>IF(Tabela3[[#This Row],[Ativo || Passivo]]&gt;0,Tabela3[[#This Row],[Ativo || Passivo]]-Tabela3[[#This Row],[Patrimônio Líquido]],0)</f>
        <v>52976000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2.7469568655194658</v>
      </c>
      <c r="U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" s="18">
        <f>IF(Tabela3[[#This Row],[Lucro Líquido]]&gt;0,Tabela3[[#This Row],[Lucro Líquido]]/Tabela3[[#This Row],[Patrimônio Líquido]],0)/Tabela3[[#This Row],[Ref]]*4</f>
        <v>4.6112396151179909E-2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" s="18">
        <f>IF(Tabela3[[#This Row],[Dívida]]&gt;0,Tabela3[[#This Row],[Dívida]]/Tabela3[[#This Row],[Patrimônio Líquido]],0)</f>
        <v>3.3599481445635196E-2</v>
      </c>
      <c r="Y6" s="18">
        <f>SUMPRODUCT(N([Dívida / PL]&gt;0),N(RIGHT([PAPEL],LEN([PAPEL])-(LEN([PAPEL])-1))="3"),[Dívida / PL])/SUMPRODUCT(N([Dívida / PL]&gt;0),N(RIGHT([PAPEL],LEN([PAPEL])-(LEN([PAPEL])-1))="3"))</f>
        <v>2.312588816579864</v>
      </c>
      <c r="Z6" s="7">
        <f>Tabela3[[#This Row],[Capital Social]]*20%</f>
        <v>170489813.71000001</v>
      </c>
      <c r="AA6" s="47">
        <f>IF(([Lucro Líquido]*5%)&gt;[Teto R. Legal],[Teto R. Legal],[Lucro Líquido]*5%)</f>
        <v>3635250</v>
      </c>
      <c r="AB6" s="47">
        <f>IF([Lucro Líquido]&lt;0,0,[Lucro Líquido]-[Reserva Legal])</f>
        <v>69069750</v>
      </c>
      <c r="AC6" s="47">
        <f>Tabela3[[#This Row],[Lucro Distribuir]]*[%Div]</f>
        <v>17267437.5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0.27828850072605149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6" s="7">
        <f>[Div Base]*[Ações]</f>
        <v>8975487.1136178244</v>
      </c>
      <c r="AL6" s="120">
        <f>SUMPRODUCT(N([Nome]=Tabela3[[#This Row],[Nome]]),[Div Base]*[Ações])</f>
        <v>17267437.5</v>
      </c>
      <c r="AM6" s="5">
        <f>[Patrimônio Líquido]/[Total Ações]</f>
        <v>6.0350041193626138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0.26437407568974891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t="11.25" customHeight="1">
      <c r="A7" s="3" t="s">
        <v>1011</v>
      </c>
      <c r="B7" s="58" t="s">
        <v>1014</v>
      </c>
      <c r="C7" s="16" t="str">
        <f>LEFT([PAPEL],LEN([PAPEL])-(LEN([PAPEL])-4))</f>
        <v>ABRE</v>
      </c>
      <c r="D7" s="16">
        <v>4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>
        <v>1629667000</v>
      </c>
      <c r="N7" s="54">
        <v>132016000</v>
      </c>
      <c r="O7" s="54">
        <v>48059000</v>
      </c>
      <c r="P7" s="91">
        <v>1576691000</v>
      </c>
      <c r="Q7" s="73">
        <v>72705000</v>
      </c>
      <c r="R7" s="73">
        <f>IF(Tabela3[[#This Row],[Ativo || Passivo]]&gt;0,Tabela3[[#This Row],[Ativo || Passivo]]-Tabela3[[#This Row],[Patrimônio Líquido]],0)</f>
        <v>52976000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2.7469568655194658</v>
      </c>
      <c r="U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" s="18">
        <f>IF(Tabela3[[#This Row],[Lucro Líquido]]&gt;0,Tabela3[[#This Row],[Lucro Líquido]]/Tabela3[[#This Row],[Patrimônio Líquido]],0)/Tabela3[[#This Row],[Ref]]*4</f>
        <v>4.6112396151179909E-2</v>
      </c>
      <c r="W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" s="18">
        <f>IF(Tabela3[[#This Row],[Dívida]]&gt;0,Tabela3[[#This Row],[Dívida]]/Tabela3[[#This Row],[Patrimônio Líquido]],0)</f>
        <v>3.3599481445635196E-2</v>
      </c>
      <c r="Y7" s="18">
        <f>SUMPRODUCT(N([Dívida / PL]&gt;0),N(RIGHT([PAPEL],LEN([PAPEL])-(LEN([PAPEL])-1))="3"),[Dívida / PL])/SUMPRODUCT(N([Dívida / PL]&gt;0),N(RIGHT([PAPEL],LEN([PAPEL])-(LEN([PAPEL])-1))="3"))</f>
        <v>2.312588816579864</v>
      </c>
      <c r="Z7" s="7">
        <f>Tabela3[[#This Row],[Capital Social]]*20%</f>
        <v>170489813.71000001</v>
      </c>
      <c r="AA7" s="47">
        <f>IF(([Lucro Líquido]*5%)&gt;[Teto R. Legal],[Teto R. Legal],[Lucro Líquido]*5%)</f>
        <v>3635250</v>
      </c>
      <c r="AB7" s="47">
        <f>IF([Lucro Líquido]&lt;0,0,[Lucro Líquido]-[Reserva Legal])</f>
        <v>69069750</v>
      </c>
      <c r="AC7" s="47">
        <f>Tabela3[[#This Row],[Lucro Distribuir]]*[%Div]</f>
        <v>17267437.5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0.27828850072605149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7" s="7">
        <f>[Div Base]*[Ações]</f>
        <v>8291950.3863821775</v>
      </c>
      <c r="AL7" s="120">
        <f>SUMPRODUCT(N([Nome]=Tabela3[[#This Row],[Nome]]),[Div Base]*[Ações])</f>
        <v>17267437.5</v>
      </c>
      <c r="AM7" s="5">
        <f>[Patrimônio Líquido]/[Total Ações]</f>
        <v>6.0350041193626138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0.26437407568974891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t="11.25" customHeight="1">
      <c r="A8" s="4" t="s">
        <v>12</v>
      </c>
      <c r="B8" s="57" t="s">
        <v>67</v>
      </c>
      <c r="C8" s="82" t="str">
        <f>LEFT([PAPEL],LEN([PAPEL])-(LEN([PAPEL])-4))</f>
        <v>AELP</v>
      </c>
      <c r="D8" s="15">
        <v>4</v>
      </c>
      <c r="E8" s="6">
        <v>1387982000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1579931000</v>
      </c>
      <c r="N8" s="55">
        <v>37600000</v>
      </c>
      <c r="O8" s="55">
        <v>4414000</v>
      </c>
      <c r="P8" s="89">
        <v>1557125000</v>
      </c>
      <c r="Q8" s="89">
        <v>13766000</v>
      </c>
      <c r="R8" s="89">
        <f>IF(Tabela3[[#This Row],[Ativo || Passivo]]&gt;0,Tabela3[[#This Row],[Ativo || Passivo]]-Tabela3[[#This Row],[Patrimônio Líquido]],0)</f>
        <v>22806000</v>
      </c>
      <c r="S8" s="89">
        <f>Tabela3[[#This Row],[Cotação]]*Tabela3[[#This Row],[Total Ações]]</f>
        <v>673032255.24000001</v>
      </c>
      <c r="T8" s="132">
        <f>IF(Tabela3[[#This Row],[Passivo Circulante]]&gt;0,Tabela3[[#This Row],[Ativo Circulante]]/Tabela3[[#This Row],[Passivo Circulante]],0)</f>
        <v>8.5183507023108298</v>
      </c>
      <c r="U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" s="19">
        <f>IF(Tabela3[[#This Row],[Lucro Líquido]]&gt;0,Tabela3[[#This Row],[Lucro Líquido]]/Tabela3[[#This Row],[Patrimônio Líquido]],0)/Tabela3[[#This Row],[Ref]]*4</f>
        <v>8.8406518423376421E-3</v>
      </c>
      <c r="W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" s="19">
        <f>IF(Tabela3[[#This Row],[Dívida]]&gt;0,Tabela3[[#This Row],[Dívida]]/Tabela3[[#This Row],[Patrimônio Líquido]],0)</f>
        <v>1.4646223007144578E-2</v>
      </c>
      <c r="Y8" s="19">
        <f>SUMPRODUCT(N([Dívida / PL]&gt;0),N(RIGHT([PAPEL],LEN([PAPEL])-(LEN([PAPEL])-1))="3"),[Dívida / PL])/SUMPRODUCT(N([Dívida / PL]&gt;0),N(RIGHT([PAPEL],LEN([PAPEL])-(LEN([PAPEL])-1))="3"))</f>
        <v>2.312588816579864</v>
      </c>
      <c r="Z8" s="6">
        <f>Tabela3[[#This Row],[Capital Social]]*20%</f>
        <v>277596400</v>
      </c>
      <c r="AA8" s="6">
        <f>IF(([Lucro Líquido]*5%)&gt;[Teto R. Legal],[Teto R. Legal],[Lucro Líquido]*5%)</f>
        <v>688300</v>
      </c>
      <c r="AB8" s="89">
        <f>IF([Lucro Líquido]&lt;0,0,[Lucro Líquido]-[Reserva Legal])</f>
        <v>13077700</v>
      </c>
      <c r="AC8" s="89">
        <f>Tabela3[[#This Row],[Lucro Distribuir]]*[%Div]</f>
        <v>3269425</v>
      </c>
      <c r="AD8" s="56">
        <f>SUMPRODUCT(N([Nome]=Tabela3[[#This Row],[Nome]]),[Ações])</f>
        <v>95061053</v>
      </c>
      <c r="AE8" s="6">
        <f>[Capital Social]/[Total Ações]</f>
        <v>14.600953347318802</v>
      </c>
      <c r="AF8" s="78">
        <f>Tabela3[[#This Row],[Lucro Líquido]]/Tabela3[[#This Row],[Total Ações]]</f>
        <v>0.14481219769362327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8" s="6">
        <f>[Div Base]*[Ações]</f>
        <v>3269425</v>
      </c>
      <c r="AL8" s="6">
        <f>SUMPRODUCT(N([Nome]=Tabela3[[#This Row],[Nome]]),[Div Base]*[Ações])</f>
        <v>3269425</v>
      </c>
      <c r="AM8" s="6">
        <f>[Patrimônio Líquido]/[Total Ações]</f>
        <v>16.38026248247008</v>
      </c>
      <c r="AN8" s="48">
        <f>MAX(Tabela3[[#This Row],[Cotação 1]:[Cotação 5]])</f>
        <v>7.08</v>
      </c>
      <c r="AO8" s="44">
        <f>[Cotação]/[VPA]</f>
        <v>0.4322275059741511</v>
      </c>
      <c r="AP8" s="40">
        <f>IF(Tabela3[[#This Row],[Lucro/Ação]]&gt;0,Tabela3[[#This Row],[Cotação]]/(Tabela3[[#This Row],[Lucro/Ação]]/[Ref]*4),0)</f>
        <v>48.890909141362776</v>
      </c>
      <c r="AQ8" s="78">
        <f>[Lucro Distribuir]/[Total Ações]</f>
        <v>0.1375715878089421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4.8577538068129275E-3</v>
      </c>
      <c r="AU8" s="19">
        <f>((1+Tabela3[[#This Row],[% Yield]])^(1/(3*Tabela3[[#This Row],[Ref]])))^(12)-1</f>
        <v>4.857753806813303E-3</v>
      </c>
      <c r="AV8" s="14">
        <f>IF([Cotação]&gt;0,($BH$1/Tabela3[[#This Row],[Cotação]]-MOD($BH$1/Tabela3[[#This Row],[Cotação]],100)),)</f>
        <v>100</v>
      </c>
      <c r="AW8" s="17">
        <f>Tabela3[[#This Row],[Ativos]]*[Lucro]</f>
        <v>3.4392896952235525</v>
      </c>
      <c r="AX8" s="5">
        <f>SUMPRODUCT(N(Tabela1[Código]=Tabela3[[#This Row],[PAPEL]]),Tabela1[Fechamento])</f>
        <v>7.08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t="11.25" customHeight="1">
      <c r="A9" s="4" t="s">
        <v>12</v>
      </c>
      <c r="B9" s="57" t="s">
        <v>438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220796450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" s="19">
        <f>IF(Tabela3[[#This Row],[Lucro Líquido]]&gt;0,Tabela3[[#This Row],[Lucro Líquido]]/Tabela3[[#This Row],[Patrimônio Líquido]],0)/Tabela3[[#This Row],[Ref]]*4</f>
        <v>0.26974051786515724</v>
      </c>
      <c r="W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2.312588816579864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3.5</v>
      </c>
      <c r="AO9" s="44">
        <f>[Cotação]/[VPA]</f>
        <v>3.0335016349297943</v>
      </c>
      <c r="AP9" s="40">
        <f>IF(Tabela3[[#This Row],[Lucro/Ação]]&gt;0,Tabela3[[#This Row],[Cotação]]/(Tabela3[[#This Row],[Lucro/Ação]]/[Ref]*4),0)</f>
        <v>11.245999151103566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1.5838966160914271E-2</v>
      </c>
      <c r="AU9" s="42">
        <f>((1+Tabela3[[#This Row],[% Yield]])^(1/(3*Tabela3[[#This Row],[Ref]])))^(12)-1</f>
        <v>2.11741761285551E-2</v>
      </c>
      <c r="AV9" s="14">
        <f>IF([Cotação]&gt;0,($BH$1/Tabela3[[#This Row],[Cotação]]-MOD($BH$1/Tabela3[[#This Row],[Cotação]],100)),)</f>
        <v>200</v>
      </c>
      <c r="AW9" s="17">
        <f>Tabela3[[#This Row],[Ativos]]*[Lucro]</f>
        <v>11.08727631263999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3.5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t="11.25" customHeight="1">
      <c r="A10" s="4" t="s">
        <v>12</v>
      </c>
      <c r="B10" s="57" t="s">
        <v>431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" s="19">
        <f>IF(Tabela3[[#This Row],[Lucro Líquido]]&gt;0,Tabela3[[#This Row],[Lucro Líquido]]/Tabela3[[#This Row],[Patrimônio Líquido]],0)/Tabela3[[#This Row],[Ref]]*4</f>
        <v>0.2035045703109408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2.312588816579864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100</v>
      </c>
      <c r="AW10" s="17">
        <f>Tabela3[[#This Row],[Ativos]]*[Lucro]</f>
        <v>7.0707652761827164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t="11.25" customHeight="1">
      <c r="A11" s="4" t="s">
        <v>12</v>
      </c>
      <c r="B11" s="57" t="s">
        <v>432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" s="19">
        <f>IF(Tabela3[[#This Row],[Lucro Líquido]]&gt;0,Tabela3[[#This Row],[Lucro Líquido]]/Tabela3[[#This Row],[Patrimônio Líquido]],0)/Tabela3[[#This Row],[Ref]]*4</f>
        <v>0.2035045703109408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2.312588816579864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A.A.]&gt;=5%,SUMPRODUCT(N([Nome]=Tabela3[[#This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t="11.25" customHeight="1">
      <c r="A12" s="4" t="s">
        <v>12</v>
      </c>
      <c r="B12" s="57" t="s">
        <v>433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" s="19">
        <f>IF(Tabela3[[#This Row],[Lucro Líquido]]&gt;0,Tabela3[[#This Row],[Lucro Líquido]]/Tabela3[[#This Row],[Patrimônio Líquido]],0)/Tabela3[[#This Row],[Ref]]*4</f>
        <v>0.2035045703109408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2.312588816579864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t="11.25" customHeight="1">
      <c r="A13" s="3" t="s">
        <v>336</v>
      </c>
      <c r="B13" s="57" t="s">
        <v>710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480232128.00000006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" s="19">
        <f>IF(Tabela3[[#This Row],[Lucro Líquido]]&gt;0,Tabela3[[#This Row],[Lucro Líquido]]/Tabela3[[#This Row],[Patrimônio Líquido]],0)/Tabela3[[#This Row],[Ref]]*4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2.312588816579864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8.2200000000000006</v>
      </c>
      <c r="AO13" s="44">
        <f>[Cotação]/[VPA]</f>
        <v>0.82187057687963361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100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8.2200000000000006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t="11.25" customHeight="1">
      <c r="A14" s="3" t="s">
        <v>859</v>
      </c>
      <c r="B14" s="58" t="s">
        <v>851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" s="18">
        <f>IF(Tabela3[[#This Row],[Lucro Líquido]]&gt;0,Tabela3[[#This Row],[Lucro Líquido]]/Tabela3[[#This Row],[Patrimônio Líquido]],0)/Tabela3[[#This Row],[Ref]]*4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2.312588816579864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A.A.]&gt;=5%,SUMPRODUCT(N([Nome]=Tabela3[[#This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 ht="11.25" customHeight="1">
      <c r="A15" s="3" t="s">
        <v>859</v>
      </c>
      <c r="B15" s="58" t="s">
        <v>852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" s="18">
        <f>IF(Tabela3[[#This Row],[Lucro Líquido]]&gt;0,Tabela3[[#This Row],[Lucro Líquido]]/Tabela3[[#This Row],[Patrimônio Líquido]],0)/Tabela3[[#This Row],[Ref]]*4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2.312588816579864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 ht="11.25" customHeight="1">
      <c r="A16" s="3" t="s">
        <v>859</v>
      </c>
      <c r="B16" s="58" t="s">
        <v>853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" s="18">
        <f>IF(Tabela3[[#This Row],[Lucro Líquido]]&gt;0,Tabela3[[#This Row],[Lucro Líquido]]/Tabela3[[#This Row],[Patrimônio Líquido]],0)/Tabela3[[#This Row],[Ref]]*4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2.312588816579864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 ht="11.25" customHeight="1">
      <c r="A17" s="3" t="s">
        <v>1201</v>
      </c>
      <c r="B17" s="57" t="s">
        <v>1202</v>
      </c>
      <c r="C17" s="16" t="str">
        <f>LEFT([PAPEL],LEN([PAPEL])-(LEN([PAPEL])-4))</f>
        <v>ALLL</v>
      </c>
      <c r="D17" s="16">
        <v>4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>
        <v>8867378000</v>
      </c>
      <c r="N17" s="54">
        <v>330461000</v>
      </c>
      <c r="O17" s="54">
        <v>360414000</v>
      </c>
      <c r="P17" s="91">
        <v>4351743000</v>
      </c>
      <c r="Q17" s="73">
        <v>13029000</v>
      </c>
      <c r="R17" s="73">
        <f>IF(Tabela3[[#This Row],[Ativo || Passivo]]&gt;0,Tabela3[[#This Row],[Ativo || Passivo]]-Tabela3[[#This Row],[Patrimônio Líquido]],0)</f>
        <v>4515635000</v>
      </c>
      <c r="S17" s="73">
        <f>Tabela3[[#This Row],[Cotação]]*Tabela3[[#This Row],[Total Ações]]</f>
        <v>4896169901.4400005</v>
      </c>
      <c r="T17" s="37">
        <f>IF(Tabela3[[#This Row],[Passivo Circulante]]&gt;0,Tabela3[[#This Row],[Ativo Circulante]]/Tabela3[[#This Row],[Passivo Circulante]],0)</f>
        <v>0.91689279550738878</v>
      </c>
      <c r="U1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" s="18">
        <f>IF(Tabela3[[#This Row],[Lucro Líquido]]&gt;0,Tabela3[[#This Row],[Lucro Líquido]]/Tabela3[[#This Row],[Patrimônio Líquido]],0)/Tabela3[[#This Row],[Ref]]*4</f>
        <v>2.9939727598803515E-3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" s="18">
        <f>IF(Tabela3[[#This Row],[Dívida]]&gt;0,Tabela3[[#This Row],[Dívida]]/Tabela3[[#This Row],[Patrimônio Líquido]],0)</f>
        <v>1.037661231373268</v>
      </c>
      <c r="Y17" s="18">
        <f>SUMPRODUCT(N([Dívida / PL]&gt;0),N(RIGHT([PAPEL],LEN([PAPEL])-(LEN([PAPEL])-1))="3"),[Dívida / PL])/SUMPRODUCT(N([Dívida / PL]&gt;0),N(RIGHT([PAPEL],LEN([PAPEL])-(LEN([PAPEL])-1))="3"))</f>
        <v>2.312588816579864</v>
      </c>
      <c r="Z17" s="7">
        <f>Tabela3[[#This Row],[Capital Social]]*20%</f>
        <v>689656686.324</v>
      </c>
      <c r="AA17" s="47">
        <f>IF(([Lucro Líquido]*5%)&gt;[Teto R. Legal],[Teto R. Legal],[Lucro Líquido]*5%)</f>
        <v>651450</v>
      </c>
      <c r="AB17" s="47">
        <f>IF([Lucro Líquido]&lt;0,0,[Lucro Líquido]-[Reserva Legal])</f>
        <v>12377550</v>
      </c>
      <c r="AC17" s="47">
        <f>Tabela3[[#This Row],[Lucro Distribuir]]*[%Div]</f>
        <v>3094387.5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1.8946744469124057E-2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7" s="7">
        <f>[Div Base]*[Ações]</f>
        <v>3094387.4999999995</v>
      </c>
      <c r="AL17" s="120">
        <f>SUMPRODUCT(N([Nome]=Tabela3[[#This Row],[Nome]]),[Div Base]*[Ações])</f>
        <v>3094387.4999999995</v>
      </c>
      <c r="AM17" s="5">
        <f>[Patrimônio Líquido]/[Total Ações]</f>
        <v>6.3282955419678668</v>
      </c>
      <c r="AN17" s="52">
        <f>MAX(Tabela3[[#This Row],[Cotação 1]:[Cotação 5]])</f>
        <v>7.12</v>
      </c>
      <c r="AO17" s="53">
        <f>[Cotação]/[VPA]</f>
        <v>1.1251054810543728</v>
      </c>
      <c r="AP17" s="37">
        <f>IF(Tabela3[[#This Row],[Lucro/Ação]]&gt;0,Tabela3[[#This Row],[Cotação]]/(Tabela3[[#This Row],[Lucro/Ação]]/[Ref]*4),0)</f>
        <v>375.79015284672653</v>
      </c>
      <c r="AQ17" s="85">
        <f>[Lucro Distribuir]/[Total Ações]</f>
        <v>1.7999407245667853E-2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6.3200165890687685E-4</v>
      </c>
      <c r="AU17" s="22">
        <f>((1+Tabela3[[#This Row],[% Yield]])^(1/(3*Tabela3[[#This Row],[Ref]])))^(12)-1</f>
        <v>6.3200165890675564E-4</v>
      </c>
      <c r="AV17" s="10">
        <f>IF([Cotação]&gt;0,($BH$1/Tabela3[[#This Row],[Cotação]]-MOD($BH$1/Tabela3[[#This Row],[Cotação]],100)),)</f>
        <v>100</v>
      </c>
      <c r="AW17" s="7">
        <f>Tabela3[[#This Row],[Ativos]]*[Lucro]</f>
        <v>0.44998518114169633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7.12</v>
      </c>
    </row>
    <row r="18" spans="1:54" ht="11.25" customHeight="1">
      <c r="A18" s="3" t="s">
        <v>994</v>
      </c>
      <c r="B18" s="58" t="s">
        <v>990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5046643057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" s="18">
        <f>IF(Tabela3[[#This Row],[Lucro Líquido]]&gt;0,Tabela3[[#This Row],[Lucro Líquido]]/Tabela3[[#This Row],[Patrimônio Líquido]],0)/Tabela3[[#This Row],[Ref]]*4</f>
        <v>0.17828463010502274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2.312588816579864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11.8</v>
      </c>
      <c r="AO18" s="53">
        <f>[Cotação]/[VPA]</f>
        <v>2.8429565555148075</v>
      </c>
      <c r="AP18" s="37">
        <f>IF(Tabela3[[#This Row],[Lucro/Ação]]&gt;0,Tabela3[[#This Row],[Cotação]]/(Tabela3[[#This Row],[Lucro/Ação]]/[Ref]*4),0)</f>
        <v>15.946167394464105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1.0822842231782235E-2</v>
      </c>
      <c r="AU18" s="22">
        <f>((1+Tabela3[[#This Row],[% Yield]])^(1/(3*Tabela3[[#This Row],[Ref]])))^(12)-1</f>
        <v>1.4456423744847902E-2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11.8</v>
      </c>
      <c r="BB18" s="7">
        <f>SUMPRODUCT(N(Tabela17683[Código]=Tabela3[[#This Row],[PAPEL]]),Tabela17683[Fechamento])</f>
        <v>0</v>
      </c>
    </row>
    <row r="19" spans="1:54" ht="11.25" customHeight="1">
      <c r="A19" s="3" t="s">
        <v>994</v>
      </c>
      <c r="B19" s="58" t="s">
        <v>991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5602629156.5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" s="18">
        <f>IF(Tabela3[[#This Row],[Lucro Líquido]]&gt;0,Tabela3[[#This Row],[Lucro Líquido]]/Tabela3[[#This Row],[Patrimônio Líquido]],0)/Tabela3[[#This Row],[Ref]]*4</f>
        <v>0.17828463010502274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2.312588816579864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13.1</v>
      </c>
      <c r="AO19" s="53">
        <f>[Cotação]/[VPA]</f>
        <v>3.1561636336647436</v>
      </c>
      <c r="AP19" s="37">
        <f>IF(Tabela3[[#This Row],[Lucro/Ação]]&gt;0,Tabela3[[#This Row],[Cotação]]/(Tabela3[[#This Row],[Lucro/Ação]]/[Ref]*4),0)</f>
        <v>17.702948548091506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1.0723701706944809E-2</v>
      </c>
      <c r="AU19" s="22">
        <f>((1+Tabela3[[#This Row],[% Yield]])^(1/(3*Tabela3[[#This Row],[Ref]])))^(12)-1</f>
        <v>1.432376337614194E-2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13.1</v>
      </c>
      <c r="BB19" s="7">
        <f>SUMPRODUCT(N(Tabela17683[Código]=Tabela3[[#This Row],[PAPEL]]),Tabela17683[Fechamento])</f>
        <v>0</v>
      </c>
    </row>
    <row r="20" spans="1:54" ht="11.25" customHeight="1">
      <c r="A20" s="3" t="s">
        <v>336</v>
      </c>
      <c r="B20" s="58" t="s">
        <v>337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2824300339.2000003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" s="18">
        <f>IF(Tabela3[[#This Row],[Lucro Líquido]]&gt;0,Tabela3[[#This Row],[Lucro Líquido]]/Tabela3[[#This Row],[Patrimônio Líquido]],0)/Tabela3[[#This Row],[Ref]]*4</f>
        <v>3.2547423629479801E-2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2.312588816579864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17.760000000000002</v>
      </c>
      <c r="AO20" s="53">
        <f>[Cotação]/[VPA]</f>
        <v>1.7165743270577254</v>
      </c>
      <c r="AP20" s="37">
        <f>IF(Tabela3[[#This Row],[Lucro/Ação]]&gt;0,Tabela3[[#This Row],[Cotação]]/(Tabela3[[#This Row],[Lucro/Ação]]/[Ref]*4),0)</f>
        <v>52.740712954709565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3.3773718636106159E-3</v>
      </c>
      <c r="AU20" s="18">
        <f>((1+Tabela3[[#This Row],[% Yield]])^(1/(3*Tabela3[[#This Row],[Ref]])))^(12)-1</f>
        <v>4.5056953940889599E-3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17.760000000000002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t="11.25" customHeight="1">
      <c r="A21" s="4" t="s">
        <v>12</v>
      </c>
      <c r="B21" s="57" t="s">
        <v>441</v>
      </c>
      <c r="C21" s="15" t="str">
        <f>LEFT([PAPEL],LEN([PAPEL])-(LEN([PAPEL])-4))</f>
        <v>ALUP</v>
      </c>
      <c r="D21" s="15">
        <v>4</v>
      </c>
      <c r="E21" s="6">
        <v>1590658000</v>
      </c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>
        <v>3399639000</v>
      </c>
      <c r="N21" s="55">
        <v>711736000</v>
      </c>
      <c r="O21" s="55">
        <v>275776000</v>
      </c>
      <c r="P21" s="92">
        <v>2566242000</v>
      </c>
      <c r="Q21" s="93">
        <v>289851000</v>
      </c>
      <c r="R21" s="93">
        <f>IF(Tabela3[[#This Row],[Ativo || Passivo]]&gt;0,Tabela3[[#This Row],[Ativo || Passivo]]-Tabela3[[#This Row],[Patrimônio Líquido]],0)</f>
        <v>833397000</v>
      </c>
      <c r="S21" s="93">
        <f>Tabela3[[#This Row],[Cotação]]*Tabela3[[#This Row],[Total Ações]]</f>
        <v>10729563906.000002</v>
      </c>
      <c r="T21" s="40">
        <f>IF(Tabela3[[#This Row],[Passivo Circulante]]&gt;0,Tabela3[[#This Row],[Ativo Circulante]]/Tabela3[[#This Row],[Passivo Circulante]],0)</f>
        <v>2.5808482246460898</v>
      </c>
      <c r="U2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" s="19">
        <f>IF(Tabela3[[#This Row],[Lucro Líquido]]&gt;0,Tabela3[[#This Row],[Lucro Líquido]]/Tabela3[[#This Row],[Patrimônio Líquido]],0)/Tabela3[[#This Row],[Ref]]*4</f>
        <v>0.11294764874084362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" s="19">
        <f>IF(Tabela3[[#This Row],[Dívida]]&gt;0,Tabela3[[#This Row],[Dívida]]/Tabela3[[#This Row],[Patrimônio Líquido]],0)</f>
        <v>0.32475386187273064</v>
      </c>
      <c r="Y21" s="19">
        <f>SUMPRODUCT(N([Dívida / PL]&gt;0),N(RIGHT([PAPEL],LEN([PAPEL])-(LEN([PAPEL])-1))="3"),[Dívida / PL])/SUMPRODUCT(N([Dívida / PL]&gt;0),N(RIGHT([PAPEL],LEN([PAPEL])-(LEN([PAPEL])-1))="3"))</f>
        <v>2.312588816579864</v>
      </c>
      <c r="Z21" s="13">
        <f>Tabela3[[#This Row],[Capital Social]]*20%</f>
        <v>318131600</v>
      </c>
      <c r="AA21" s="13">
        <f>IF(([Lucro Líquido]*5%)&gt;[Teto R. Legal],[Teto R. Legal],[Lucro Líquido]*5%)</f>
        <v>14492550</v>
      </c>
      <c r="AB21" s="13">
        <f>IF([Lucro Líquido]&lt;0,0,[Lucro Líquido]-[Reserva Legal])</f>
        <v>275358450</v>
      </c>
      <c r="AC21" s="13">
        <f>Tabela3[[#This Row],[Lucro Distribuir]]*[%Div]</f>
        <v>137679225</v>
      </c>
      <c r="AD21" s="56">
        <f>SUMPRODUCT(N([Nome]=Tabela3[[#This Row],[Nome]]),[Ações])</f>
        <v>624901800</v>
      </c>
      <c r="AE21" s="6">
        <f>[Capital Social]/[Total Ações]</f>
        <v>2.5454527415347501</v>
      </c>
      <c r="AF21" s="78">
        <f>Tabela3[[#This Row],[Lucro Líquido]]/Tabela3[[#This Row],[Total Ações]]</f>
        <v>0.46383447767313202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137679225</v>
      </c>
      <c r="AM21" s="6">
        <f>[Patrimônio Líquido]/[Total Ações]</f>
        <v>4.106632434088044</v>
      </c>
      <c r="AN21" s="48">
        <f>MAX(Tabela3[[#This Row],[Cotação 1]:[Cotação 5]])</f>
        <v>17.170000000000002</v>
      </c>
      <c r="AO21" s="44">
        <f>[Cotação]/[VPA]</f>
        <v>4.1810413460616731</v>
      </c>
      <c r="AP21" s="40">
        <f>IF(Tabela3[[#This Row],[Lucro/Ação]]&gt;0,Tabela3[[#This Row],[Cotação]]/(Tabela3[[#This Row],[Lucro/Ação]]/[Ref]*4),0)</f>
        <v>37.017515571793787</v>
      </c>
      <c r="AQ21" s="78">
        <f>[Lucro Distribuir]/[Total Ações]</f>
        <v>0.44064275378947543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21" s="14" t="str">
        <f>IF(AND([% A.A.]&gt;=5%,SUMPRODUCT(N([Nome]=Tabela3[[#This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3.8495290080618118E-2</v>
      </c>
      <c r="AU21" s="42">
        <f>((1+Tabela3[[#This Row],[% Yield]])^(1/(3*Tabela3[[#This Row],[Ref]])))^(12)-1</f>
        <v>3.8495290080618361E-2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17.170000000000002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t="11.25" customHeight="1">
      <c r="A22" s="4" t="s">
        <v>12</v>
      </c>
      <c r="B22" s="57" t="s">
        <v>442</v>
      </c>
      <c r="C22" s="15" t="str">
        <f>LEFT([PAPEL],LEN([PAPEL])-(LEN([PAPEL])-4))</f>
        <v>ALUP</v>
      </c>
      <c r="D22" s="15">
        <v>4</v>
      </c>
      <c r="E22" s="6">
        <v>1590658000</v>
      </c>
      <c r="F22" s="8">
        <v>461243596</v>
      </c>
      <c r="G22" s="81">
        <v>0.5</v>
      </c>
      <c r="H22" s="15"/>
      <c r="I22" s="19"/>
      <c r="J22" s="19"/>
      <c r="K22" s="88"/>
      <c r="L22" s="88"/>
      <c r="M22" s="55">
        <v>3399639000</v>
      </c>
      <c r="N22" s="55">
        <v>711736000</v>
      </c>
      <c r="O22" s="55">
        <v>275776000</v>
      </c>
      <c r="P22" s="92">
        <v>2566242000</v>
      </c>
      <c r="Q22" s="93">
        <v>289851000</v>
      </c>
      <c r="R22" s="93">
        <f>IF(Tabela3[[#This Row],[Ativo || Passivo]]&gt;0,Tabela3[[#This Row],[Ativo || Passivo]]-Tabela3[[#This Row],[Patrimônio Líquido]],0)</f>
        <v>833397000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2.5808482246460898</v>
      </c>
      <c r="U2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" s="19">
        <f>IF(Tabela3[[#This Row],[Lucro Líquido]]&gt;0,Tabela3[[#This Row],[Lucro Líquido]]/Tabela3[[#This Row],[Patrimônio Líquido]],0)/Tabela3[[#This Row],[Ref]]*4</f>
        <v>0.11294764874084362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" s="19">
        <f>IF(Tabela3[[#This Row],[Dívida]]&gt;0,Tabela3[[#This Row],[Dívida]]/Tabela3[[#This Row],[Patrimônio Líquido]],0)</f>
        <v>0.32475386187273064</v>
      </c>
      <c r="Y22" s="19">
        <f>SUMPRODUCT(N([Dívida / PL]&gt;0),N(RIGHT([PAPEL],LEN([PAPEL])-(LEN([PAPEL])-1))="3"),[Dívida / PL])/SUMPRODUCT(N([Dívida / PL]&gt;0),N(RIGHT([PAPEL],LEN([PAPEL])-(LEN([PAPEL])-1))="3"))</f>
        <v>2.312588816579864</v>
      </c>
      <c r="Z22" s="13">
        <f>Tabela3[[#This Row],[Capital Social]]*20%</f>
        <v>318131600</v>
      </c>
      <c r="AA22" s="13">
        <f>IF(([Lucro Líquido]*5%)&gt;[Teto R. Legal],[Teto R. Legal],[Lucro Líquido]*5%)</f>
        <v>14492550</v>
      </c>
      <c r="AB22" s="13">
        <f>IF([Lucro Líquido]&lt;0,0,[Lucro Líquido]-[Reserva Legal])</f>
        <v>275358450</v>
      </c>
      <c r="AC22" s="13">
        <f>Tabela3[[#This Row],[Lucro Distribuir]]*[%Div]</f>
        <v>137679225</v>
      </c>
      <c r="AD22" s="56">
        <f>SUMPRODUCT(N([Nome]=Tabela3[[#This Row],[Nome]]),[Ações])</f>
        <v>624901800</v>
      </c>
      <c r="AE22" s="6">
        <f>[Capital Social]/[Total Ações]</f>
        <v>2.5454527415347501</v>
      </c>
      <c r="AF22" s="78">
        <f>Tabela3[[#This Row],[Lucro Líquido]]/Tabela3[[#This Row],[Total Ações]]</f>
        <v>0.46383447767313202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2" s="13">
        <f>[Div Base]*[Ações]</f>
        <v>101621824.15460014</v>
      </c>
      <c r="AL22" s="13">
        <f>SUMPRODUCT(N([Nome]=Tabela3[[#This Row],[Nome]]),[Div Base]*[Ações])</f>
        <v>137679225</v>
      </c>
      <c r="AM22" s="6">
        <f>[Patrimônio Líquido]/[Total Ações]</f>
        <v>4.106632434088044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0.44064275378947543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2" s="14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t="11.25" customHeight="1">
      <c r="A23" s="4" t="s">
        <v>12</v>
      </c>
      <c r="B23" s="57" t="s">
        <v>443</v>
      </c>
      <c r="C23" s="15" t="str">
        <f>LEFT([PAPEL],LEN([PAPEL])-(LEN([PAPEL])-4))</f>
        <v>ALUP</v>
      </c>
      <c r="D23" s="15">
        <v>4</v>
      </c>
      <c r="E23" s="6">
        <v>1590658000</v>
      </c>
      <c r="F23" s="8">
        <v>163658204</v>
      </c>
      <c r="G23" s="81">
        <v>0.5</v>
      </c>
      <c r="H23" s="15"/>
      <c r="I23" s="19"/>
      <c r="J23" s="19"/>
      <c r="K23" s="88"/>
      <c r="L23" s="88"/>
      <c r="M23" s="55">
        <v>3399639000</v>
      </c>
      <c r="N23" s="55">
        <v>711736000</v>
      </c>
      <c r="O23" s="55">
        <v>275776000</v>
      </c>
      <c r="P23" s="92">
        <v>2566242000</v>
      </c>
      <c r="Q23" s="93">
        <v>289851000</v>
      </c>
      <c r="R23" s="93">
        <f>IF(Tabela3[[#This Row],[Ativo || Passivo]]&gt;0,Tabela3[[#This Row],[Ativo || Passivo]]-Tabela3[[#This Row],[Patrimônio Líquido]],0)</f>
        <v>833397000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2.5808482246460898</v>
      </c>
      <c r="U2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" s="19">
        <f>IF(Tabela3[[#This Row],[Lucro Líquido]]&gt;0,Tabela3[[#This Row],[Lucro Líquido]]/Tabela3[[#This Row],[Patrimônio Líquido]],0)/Tabela3[[#This Row],[Ref]]*4</f>
        <v>0.11294764874084362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" s="19">
        <f>IF(Tabela3[[#This Row],[Dívida]]&gt;0,Tabela3[[#This Row],[Dívida]]/Tabela3[[#This Row],[Patrimônio Líquido]],0)</f>
        <v>0.32475386187273064</v>
      </c>
      <c r="Y23" s="19">
        <f>SUMPRODUCT(N([Dívida / PL]&gt;0),N(RIGHT([PAPEL],LEN([PAPEL])-(LEN([PAPEL])-1))="3"),[Dívida / PL])/SUMPRODUCT(N([Dívida / PL]&gt;0),N(RIGHT([PAPEL],LEN([PAPEL])-(LEN([PAPEL])-1))="3"))</f>
        <v>2.312588816579864</v>
      </c>
      <c r="Z23" s="13">
        <f>Tabela3[[#This Row],[Capital Social]]*20%</f>
        <v>318131600</v>
      </c>
      <c r="AA23" s="13">
        <f>IF(([Lucro Líquido]*5%)&gt;[Teto R. Legal],[Teto R. Legal],[Lucro Líquido]*5%)</f>
        <v>14492550</v>
      </c>
      <c r="AB23" s="13">
        <f>IF([Lucro Líquido]&lt;0,0,[Lucro Líquido]-[Reserva Legal])</f>
        <v>275358450</v>
      </c>
      <c r="AC23" s="13">
        <f>Tabela3[[#This Row],[Lucro Distribuir]]*[%Div]</f>
        <v>137679225</v>
      </c>
      <c r="AD23" s="56">
        <f>SUMPRODUCT(N([Nome]=Tabela3[[#This Row],[Nome]]),[Ações])</f>
        <v>624901800</v>
      </c>
      <c r="AE23" s="6">
        <f>[Capital Social]/[Total Ações]</f>
        <v>2.5454527415347501</v>
      </c>
      <c r="AF23" s="78">
        <f>Tabela3[[#This Row],[Lucro Líquido]]/Tabela3[[#This Row],[Total Ações]]</f>
        <v>0.46383447767313202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3" s="13">
        <f>[Div Base]*[Ações]</f>
        <v>36057400.845399871</v>
      </c>
      <c r="AL23" s="13">
        <f>SUMPRODUCT(N([Nome]=Tabela3[[#This Row],[Nome]]),[Div Base]*[Ações])</f>
        <v>137679225</v>
      </c>
      <c r="AM23" s="6">
        <f>[Patrimônio Líquido]/[Total Ações]</f>
        <v>4.106632434088044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0.44064275378947543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t="11.25" customHeight="1">
      <c r="A24" s="3" t="s">
        <v>1034</v>
      </c>
      <c r="B24" s="58" t="s">
        <v>1051</v>
      </c>
      <c r="C24" s="16" t="str">
        <f>LEFT([PAPEL],LEN([PAPEL])-(LEN([PAPEL])-4))</f>
        <v>AMAR</v>
      </c>
      <c r="D24" s="16">
        <v>4</v>
      </c>
      <c r="E24" s="5">
        <v>661493000</v>
      </c>
      <c r="F24" s="56">
        <v>185532726</v>
      </c>
      <c r="G24" s="81">
        <v>0.25</v>
      </c>
      <c r="H24" s="87"/>
      <c r="J24" s="18"/>
      <c r="K24" s="16"/>
      <c r="L24" s="87"/>
      <c r="M24" s="54">
        <v>2351961000</v>
      </c>
      <c r="N24" s="54">
        <v>1008936000</v>
      </c>
      <c r="O24" s="54">
        <v>541422000</v>
      </c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1244223000</v>
      </c>
      <c r="S24" s="73">
        <f>Tabela3[[#This Row],[Cotação]]*Tabela3[[#This Row],[Total Ações]]</f>
        <v>2604879473.04</v>
      </c>
      <c r="T24" s="37">
        <f>IF(Tabela3[[#This Row],[Passivo Circulante]]&gt;0,Tabela3[[#This Row],[Ativo Circulante]]/Tabela3[[#This Row],[Passivo Circulante]],0)</f>
        <v>1.8634928022873101</v>
      </c>
      <c r="U2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" s="18">
        <f>IF(Tabela3[[#This Row],[Lucro Líquido]]&gt;0,Tabela3[[#This Row],[Lucro Líquido]]/Tabela3[[#This Row],[Patrimônio Líquido]],0)/Tabela3[[#This Row],[Ref]]*4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" s="18">
        <f>IF(Tabela3[[#This Row],[Dívida]]&gt;0,Tabela3[[#This Row],[Dívida]]/Tabela3[[#This Row],[Patrimônio Líquido]],0)</f>
        <v>1.1232105425651191</v>
      </c>
      <c r="Y24" s="18">
        <f>SUMPRODUCT(N([Dívida / PL]&gt;0),N(RIGHT([PAPEL],LEN([PAPEL])-(LEN([PAPEL])-1))="3"),[Dívida / PL])/SUMPRODUCT(N([Dívida / PL]&gt;0),N(RIGHT([PAPEL],LEN([PAPEL])-(LEN([PAPEL])-1))="3"))</f>
        <v>2.312588816579864</v>
      </c>
      <c r="Z24" s="7">
        <f>Tabela3[[#This Row],[Capital Social]]*20%</f>
        <v>132298600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3.5653709955191411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14.04</v>
      </c>
      <c r="AO24" s="53">
        <f>[Cotação]/[VPA]</f>
        <v>2.3515303014250661</v>
      </c>
      <c r="AP24" s="37">
        <f>IF(Tabela3[[#This Row],[Lucro/Ação]]&gt;0,Tabela3[[#This Row],[Cotação]]/(Tabela3[[#This Row],[Lucro/Ação]]/[Ref]*4),0)</f>
        <v>30.467139266883436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7.7952838932322417E-3</v>
      </c>
      <c r="AU24" s="22">
        <f>((1+Tabela3[[#This Row],[% Yield]])^(1/(3*Tabela3[[#This Row],[Ref]])))^(12)-1</f>
        <v>7.7952838932331403E-3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14.04</v>
      </c>
      <c r="BB24" s="7">
        <f>SUMPRODUCT(N(Tabela17683[Código]=Tabela3[[#This Row],[PAPEL]]),Tabela17683[Fechamento])</f>
        <v>0</v>
      </c>
    </row>
    <row r="25" spans="1:54" ht="11.25" customHeight="1">
      <c r="A25" s="3" t="s">
        <v>1182</v>
      </c>
      <c r="B25" s="57" t="s">
        <v>1174</v>
      </c>
      <c r="C25" s="16" t="str">
        <f>LEFT([PAPEL],LEN([PAPEL])-(LEN([PAPEL])-4))</f>
        <v>ARTR</v>
      </c>
      <c r="D25" s="16">
        <v>4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>
        <v>3064518000</v>
      </c>
      <c r="N25" s="54">
        <v>263186000</v>
      </c>
      <c r="O25" s="54">
        <v>102648000</v>
      </c>
      <c r="P25" s="91">
        <v>1928203000</v>
      </c>
      <c r="Q25" s="73">
        <v>426970000</v>
      </c>
      <c r="R25" s="73">
        <f>IF(Tabela3[[#This Row],[Ativo || Passivo]]&gt;0,Tabela3[[#This Row],[Ativo || Passivo]]-Tabela3[[#This Row],[Patrimônio Líquido]],0)</f>
        <v>1136315000</v>
      </c>
      <c r="S25" s="73">
        <f>Tabela3[[#This Row],[Cotação]]*Tabela3[[#This Row],[Total Ações]]</f>
        <v>6082888810.3999996</v>
      </c>
      <c r="T25" s="37">
        <f>IF(Tabela3[[#This Row],[Passivo Circulante]]&gt;0,Tabela3[[#This Row],[Ativo Circulante]]/Tabela3[[#This Row],[Passivo Circulante]],0)</f>
        <v>2.5639661756683032</v>
      </c>
      <c r="U2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" s="18">
        <f>IF(Tabela3[[#This Row],[Lucro Líquido]]&gt;0,Tabela3[[#This Row],[Lucro Líquido]]/Tabela3[[#This Row],[Patrimônio Líquido]],0)/Tabela3[[#This Row],[Ref]]*4</f>
        <v>0.22143415397652633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" s="18">
        <f>IF(Tabela3[[#This Row],[Dívida]]&gt;0,Tabela3[[#This Row],[Dívida]]/Tabela3[[#This Row],[Patrimônio Líquido]],0)</f>
        <v>0.58931295097041136</v>
      </c>
      <c r="Y25" s="18">
        <f>SUMPRODUCT(N([Dívida / PL]&gt;0),N(RIGHT([PAPEL],LEN([PAPEL])-(LEN([PAPEL])-1))="3"),[Dívida / PL])/SUMPRODUCT(N([Dívida / PL]&gt;0),N(RIGHT([PAPEL],LEN([PAPEL])-(LEN([PAPEL])-1))="3"))</f>
        <v>2.312588816579864</v>
      </c>
      <c r="Z25" s="7">
        <f>Tabela3[[#This Row],[Capital Social]]*20%</f>
        <v>154483279.16600001</v>
      </c>
      <c r="AA25" s="47">
        <f>IF(([Lucro Líquido]*5%)&gt;[Teto R. Legal],[Teto R. Legal],[Lucro Líquido]*5%)</f>
        <v>21348500</v>
      </c>
      <c r="AB25" s="47">
        <f>IF([Lucro Líquido]&lt;0,0,[Lucro Líquido]-[Reserva Legal])</f>
        <v>405621500</v>
      </c>
      <c r="AC25" s="47">
        <f>Tabela3[[#This Row],[Lucro Distribuir]]*[%Div]</f>
        <v>101405375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1.2395903385753593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5" s="7">
        <f>[Div Base]*[Ações]</f>
        <v>101405375</v>
      </c>
      <c r="AL25" s="120">
        <f>SUMPRODUCT(N([Nome]=Tabela3[[#This Row],[Nome]]),[Div Base]*[Ações])</f>
        <v>101405375</v>
      </c>
      <c r="AM25" s="5">
        <f>[Patrimônio Líquido]/[Total Ações]</f>
        <v>5.5980087819097903</v>
      </c>
      <c r="AN25" s="52">
        <f>MAX(Tabela3[[#This Row],[Cotação 1]:[Cotação 5]])</f>
        <v>17.66</v>
      </c>
      <c r="AO25" s="53">
        <f>[Cotação]/[VPA]</f>
        <v>3.1546931575150543</v>
      </c>
      <c r="AP25" s="37">
        <f>IF(Tabela3[[#This Row],[Lucro/Ação]]&gt;0,Tabela3[[#This Row],[Cotação]]/(Tabela3[[#This Row],[Lucro/Ação]]/[Ref]*4),0)</f>
        <v>14.246642177202144</v>
      </c>
      <c r="AQ25" s="85">
        <f>[Lucro Distribuir]/[Total Ações]</f>
        <v>1.1776108216465913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1.6670594870421735E-2</v>
      </c>
      <c r="AU25" s="22">
        <f>((1+Tabela3[[#This Row],[% Yield]])^(1/(3*Tabela3[[#This Row],[Ref]])))^(12)-1</f>
        <v>1.6670594870420219E-2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17.66</v>
      </c>
    </row>
    <row r="26" spans="1:54" ht="11.25" customHeight="1">
      <c r="A26" s="3" t="s">
        <v>1034</v>
      </c>
      <c r="B26" s="58" t="s">
        <v>1035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2312540217.0599999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" s="18">
        <f>IF(Tabela3[[#This Row],[Lucro Líquido]]&gt;0,Tabela3[[#This Row],[Lucro Líquido]]/Tabela3[[#This Row],[Patrimônio Líquido]],0)/Tabela3[[#This Row],[Ref]]*4</f>
        <v>0.21141766808839002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2.312588816579864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26.09</v>
      </c>
      <c r="AO26" s="53">
        <f>[Cotação]/[VPA]</f>
        <v>4.7125548777609998</v>
      </c>
      <c r="AP26" s="37">
        <f>IF(Tabela3[[#This Row],[Lucro/Ação]]&gt;0,Tabela3[[#This Row],[Cotação]]/(Tabela3[[#This Row],[Lucro/Ação]]/[Ref]*4),0)</f>
        <v>22.290260413764297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7.991158321775698E-3</v>
      </c>
      <c r="AU26" s="22">
        <f>((1+Tabela3[[#This Row],[% Yield]])^(1/(3*Tabela3[[#This Row],[Ref]])))^(12)-1</f>
        <v>1.0669043448225501E-2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26.09</v>
      </c>
      <c r="BB26" s="7">
        <f>SUMPRODUCT(N(Tabela17683[Código]=Tabela3[[#This Row],[PAPEL]]),Tabela17683[Fechamento])</f>
        <v>0</v>
      </c>
    </row>
    <row r="27" spans="1:54" ht="11.25" customHeight="1">
      <c r="A27" s="3" t="s">
        <v>1320</v>
      </c>
      <c r="B27" s="57" t="s">
        <v>1285</v>
      </c>
      <c r="C27" s="16" t="str">
        <f>LEFT([PAPEL],LEN([PAPEL])-(LEN([PAPEL])-4))</f>
        <v>AUTM</v>
      </c>
      <c r="D27" s="16">
        <v>4</v>
      </c>
      <c r="E27" s="5">
        <v>900188000</v>
      </c>
      <c r="F27" s="56">
        <v>125907641</v>
      </c>
      <c r="G27" s="81">
        <v>0.25</v>
      </c>
      <c r="H27" s="87"/>
      <c r="J27" s="18"/>
      <c r="K27" s="16"/>
      <c r="L27" s="87"/>
      <c r="M27" s="54">
        <v>2052866000</v>
      </c>
      <c r="N27" s="54">
        <v>385538000</v>
      </c>
      <c r="O27" s="54">
        <v>182503000</v>
      </c>
      <c r="P27" s="91">
        <v>1295190000</v>
      </c>
      <c r="Q27" s="73">
        <v>136896000</v>
      </c>
      <c r="R27" s="73">
        <f>IF(Tabela3[[#This Row],[Ativo || Passivo]]&gt;0,Tabela3[[#This Row],[Ativo || Passivo]]-Tabela3[[#This Row],[Patrimônio Líquido]],0)</f>
        <v>757676000</v>
      </c>
      <c r="S27" s="73">
        <f>Tabela3[[#This Row],[Cotação]]*Tabela3[[#This Row],[Total Ações]]</f>
        <v>1959122893.96</v>
      </c>
      <c r="T27" s="37">
        <f>IF(Tabela3[[#This Row],[Passivo Circulante]]&gt;0,Tabela3[[#This Row],[Ativo Circulante]]/Tabela3[[#This Row],[Passivo Circulante]],0)</f>
        <v>2.112502260236818</v>
      </c>
      <c r="U2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" s="18">
        <f>IF(Tabela3[[#This Row],[Lucro Líquido]]&gt;0,Tabela3[[#This Row],[Lucro Líquido]]/Tabela3[[#This Row],[Patrimônio Líquido]],0)/Tabela3[[#This Row],[Ref]]*4</f>
        <v>0.10569568943552683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" s="18">
        <f>IF(Tabela3[[#This Row],[Dívida]]&gt;0,Tabela3[[#This Row],[Dívida]]/Tabela3[[#This Row],[Patrimônio Líquido]],0)</f>
        <v>0.58499216331194648</v>
      </c>
      <c r="Y27" s="18">
        <f>SUMPRODUCT(N([Dívida / PL]&gt;0),N(RIGHT([PAPEL],LEN([PAPEL])-(LEN([PAPEL])-1))="3"),[Dívida / PL])/SUMPRODUCT(N([Dívida / PL]&gt;0),N(RIGHT([PAPEL],LEN([PAPEL])-(LEN([PAPEL])-1))="3"))</f>
        <v>2.312588816579864</v>
      </c>
      <c r="Z27" s="7">
        <f>Tabela3[[#This Row],[Capital Social]]*20%</f>
        <v>180037600</v>
      </c>
      <c r="AA27" s="47">
        <f>IF(([Lucro Líquido]*5%)&gt;[Teto R. Legal],[Teto R. Legal],[Lucro Líquido]*5%)</f>
        <v>6844800</v>
      </c>
      <c r="AB27" s="47">
        <f>IF([Lucro Líquido]&lt;0,0,[Lucro Líquido]-[Reserva Legal])</f>
        <v>130051200</v>
      </c>
      <c r="AC27" s="47">
        <f>Tabela3[[#This Row],[Lucro Distribuir]]*[%Div]</f>
        <v>32512800</v>
      </c>
      <c r="AD27" s="56">
        <f>SUMPRODUCT(N([Nome]=Tabela3[[#This Row],[Nome]]),[Ações])</f>
        <v>125907641</v>
      </c>
      <c r="AE27" s="85">
        <f>[Capital Social]/[Total Ações]</f>
        <v>7.1495899124978441</v>
      </c>
      <c r="AF27" s="85">
        <f>Tabela3[[#This Row],[Lucro Líquido]]/Tabela3[[#This Row],[Total Ações]]</f>
        <v>1.0872731703392013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7" s="7">
        <f>[Div Base]*[Ações]</f>
        <v>32512799.999999996</v>
      </c>
      <c r="AL27" s="120">
        <f>SUMPRODUCT(N([Nome]=Tabela3[[#This Row],[Nome]]),[Div Base]*[Ações])</f>
        <v>32512799.999999996</v>
      </c>
      <c r="AM27" s="5">
        <f>[Patrimônio Líquido]/[Total Ações]</f>
        <v>10.28682603941408</v>
      </c>
      <c r="AN27" s="52">
        <f>MAX(Tabela3[[#This Row],[Cotação 1]:[Cotação 5]])</f>
        <v>15.56</v>
      </c>
      <c r="AO27" s="53">
        <f>[Cotação]/[VPA]</f>
        <v>1.5126142835877363</v>
      </c>
      <c r="AP27" s="37">
        <f>IF(Tabela3[[#This Row],[Lucro/Ação]]&gt;0,Tabela3[[#This Row],[Cotação]]/(Tabela3[[#This Row],[Lucro/Ação]]/[Ref]*4),0)</f>
        <v>14.311030957515193</v>
      </c>
      <c r="AQ27" s="85">
        <f>[Lucro Distribuir]/[Total Ações]</f>
        <v>1.0329095118222411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1.6595589842902332E-2</v>
      </c>
      <c r="AU27" s="22">
        <f>((1+Tabela3[[#This Row],[% Yield]])^(1/(3*Tabela3[[#This Row],[Ref]])))^(12)-1</f>
        <v>1.6595589842903546E-2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15.56</v>
      </c>
    </row>
    <row r="28" spans="1:54" ht="11.25" customHeight="1">
      <c r="A28" s="3" t="s">
        <v>1126</v>
      </c>
      <c r="B28" s="57" t="s">
        <v>1105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" s="18">
        <f>IF(Tabela3[[#This Row],[Lucro Líquido]]&gt;0,Tabela3[[#This Row],[Lucro Líquido]]/Tabela3[[#This Row],[Patrimônio Líquido]],0)/Tabela3[[#This Row],[Ref]]*4</f>
        <v>0.10776557193541654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2.312588816579864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400</v>
      </c>
      <c r="AW28" s="7">
        <f>Tabela3[[#This Row],[Ativos]]*[Lucro]</f>
        <v>9.9925925925925938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 ht="11.25" customHeight="1">
      <c r="A29" s="3" t="s">
        <v>1126</v>
      </c>
      <c r="B29" s="57" t="s">
        <v>1106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39690000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" s="18">
        <f>IF(Tabela3[[#This Row],[Lucro Líquido]]&gt;0,Tabela3[[#This Row],[Lucro Líquido]]/Tabela3[[#This Row],[Patrimônio Líquido]],0)/Tabela3[[#This Row],[Ref]]*4</f>
        <v>0.10776557193541654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2.312588816579864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1.47</v>
      </c>
      <c r="AO29" s="53">
        <f>[Cotação]/[VPA]</f>
        <v>1.1295463600660254</v>
      </c>
      <c r="AP29" s="37">
        <f>IF(Tabela3[[#This Row],[Lucro/Ação]]&gt;0,Tabela3[[#This Row],[Cotação]]/(Tabela3[[#This Row],[Lucro/Ação]]/[Ref]*4),0)</f>
        <v>10.481514084507042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1.6994205089443187E-2</v>
      </c>
      <c r="AU29" s="22">
        <f>((1+Tabela3[[#This Row],[% Yield]])^(1/(3*Tabela3[[#This Row],[Ref]])))^(12)-1</f>
        <v>2.2722877896715676E-2</v>
      </c>
      <c r="AV29" s="10">
        <f>IF([Cotação]&gt;0,($BH$1/Tabela3[[#This Row],[Cotação]]-MOD($BH$1/Tabela3[[#This Row],[Cotação]],100)),)</f>
        <v>600</v>
      </c>
      <c r="AW29" s="7">
        <f>Tabela3[[#This Row],[Ativos]]*[Lucro]</f>
        <v>14.988888888888889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1.47</v>
      </c>
    </row>
    <row r="30" spans="1:54" ht="11.25" customHeight="1">
      <c r="A30" s="3" t="s">
        <v>289</v>
      </c>
      <c r="B30" s="58" t="s">
        <v>298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31480753.5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" s="18">
        <f>IF(Tabela3[[#This Row],[Lucro Líquido]]&gt;0,Tabela3[[#This Row],[Lucro Líquido]]/Tabela3[[#This Row],[Patrimônio Líquido]],0)/Tabela3[[#This Row],[Ref]]*4</f>
        <v>7.8736197160558741E-2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2.312588816579864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5.25</v>
      </c>
      <c r="AO30" s="53">
        <f>[Cotação]/[VPA]</f>
        <v>0.71970813424475888</v>
      </c>
      <c r="AP30" s="37">
        <f>IF(Tabela3[[#This Row],[Lucro/Ação]]&gt;0,Tabela3[[#This Row],[Cotação]]/(Tabela3[[#This Row],[Lucro/Ação]]/[Ref]*4),0)</f>
        <v>9.1407530487804891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1.948690649987142E-2</v>
      </c>
      <c r="AU30" s="18">
        <f>((1+Tabela3[[#This Row],[% Yield]])^(1/(3*Tabela3[[#This Row],[Ref]])))^(12)-1</f>
        <v>2.60665660680095E-2</v>
      </c>
      <c r="AV30" s="10">
        <f>IF([Cotação]&gt;0,($BH$1/Tabela3[[#This Row],[Cotação]]-MOD($BH$1/Tabela3[[#This Row],[Cotação]],100)),)</f>
        <v>100</v>
      </c>
      <c r="AW30" s="7">
        <f>Tabela3[[#This Row],[Ativos]]*[Lucro]</f>
        <v>10.230625912432496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5.25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3" t="s">
        <v>1248</v>
      </c>
      <c r="B31" s="57" t="s">
        <v>1244</v>
      </c>
      <c r="C31" s="16" t="str">
        <f>LEFT([PAPEL],LEN([PAPEL])-(LEN([PAPEL])-4))</f>
        <v>BALM</v>
      </c>
      <c r="D31" s="16">
        <v>3</v>
      </c>
      <c r="E31" s="5">
        <v>15000000</v>
      </c>
      <c r="F31" s="56">
        <v>490000</v>
      </c>
      <c r="G31" s="81">
        <v>0.25</v>
      </c>
      <c r="H31" s="87"/>
      <c r="J31" s="18"/>
      <c r="K31" s="16"/>
      <c r="L31" s="87"/>
      <c r="M31" s="47">
        <v>109025000</v>
      </c>
      <c r="N31" s="47">
        <v>67948000</v>
      </c>
      <c r="O31" s="47">
        <v>30740000</v>
      </c>
      <c r="P31" s="91">
        <v>65926000</v>
      </c>
      <c r="Q31" s="93">
        <v>10280000</v>
      </c>
      <c r="R31" s="73">
        <f>IF(Tabela3[[#This Row],[Ativo || Passivo]]&gt;0,Tabela3[[#This Row],[Ativo || Passivo]]-Tabela3[[#This Row],[Patrimônio Líquido]],0)</f>
        <v>43099000</v>
      </c>
      <c r="S31" s="7">
        <f>Tabela3[[#This Row],[Cotação]]*Tabela3[[#This Row],[Total Ações]]</f>
        <v>39200000</v>
      </c>
      <c r="T31" s="37">
        <f>IF(Tabela3[[#This Row],[Passivo Circulante]]&gt;0,Tabela3[[#This Row],[Ativo Circulante]]/Tabela3[[#This Row],[Passivo Circulante]],0)</f>
        <v>2.2104098893949251</v>
      </c>
      <c r="U3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" s="18">
        <f>IF(Tabela3[[#This Row],[Lucro Líquido]]&gt;0,Tabela3[[#This Row],[Lucro Líquido]]/Tabela3[[#This Row],[Patrimônio Líquido]],0)/Tabela3[[#This Row],[Ref]]*4</f>
        <v>0.20790987875294523</v>
      </c>
      <c r="W3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" s="18">
        <f>IF(Tabela3[[#This Row],[Dívida]]&gt;0,Tabela3[[#This Row],[Dívida]]/Tabela3[[#This Row],[Patrimônio Líquido]],0)</f>
        <v>0.65374814185602037</v>
      </c>
      <c r="Y31" s="18">
        <f>SUMPRODUCT(N([Dívida / PL]&gt;0),N(RIGHT([PAPEL],LEN([PAPEL])-(LEN([PAPEL])-1))="3"),[Dívida / PL])/SUMPRODUCT(N([Dívida / PL]&gt;0),N(RIGHT([PAPEL],LEN([PAPEL])-(LEN([PAPEL])-1))="3"))</f>
        <v>2.312588816579864</v>
      </c>
      <c r="Z31" s="7">
        <f>Tabela3[[#This Row],[Capital Social]]*20%</f>
        <v>3000000</v>
      </c>
      <c r="AA31" s="47">
        <f>IF(([Lucro Líquido]*5%)&gt;[Teto R. Legal],[Teto R. Legal],[Lucro Líquido]*5%)</f>
        <v>514000</v>
      </c>
      <c r="AB31" s="47">
        <f>IF([Lucro Líquido]&lt;0,0,[Lucro Líquido]-[Reserva Legal])</f>
        <v>9766000</v>
      </c>
      <c r="AC31" s="47">
        <f>Tabela3[[#This Row],[Lucro Distribuir]]*[%Div]</f>
        <v>2441500</v>
      </c>
      <c r="AD31" s="56">
        <f>SUMPRODUCT(N([Nome]=Tabela3[[#This Row],[Nome]]),[Ações])</f>
        <v>980000</v>
      </c>
      <c r="AE31" s="85">
        <f>[Capital Social]/[Total Ações]</f>
        <v>15.306122448979592</v>
      </c>
      <c r="AF31" s="85">
        <f>Tabela3[[#This Row],[Lucro Líquido]]/Tabela3[[#This Row],[Total Ações]]</f>
        <v>10.489795918367347</v>
      </c>
      <c r="AG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31" s="7">
        <f>[Div Base]*[Ações]</f>
        <v>1220750</v>
      </c>
      <c r="AL31" s="120">
        <f>SUMPRODUCT(N([Nome]=Tabela3[[#This Row],[Nome]]),[Div Base]*[Ações])</f>
        <v>2685650</v>
      </c>
      <c r="AM31" s="5">
        <f>[Patrimônio Líquido]/[Total Ações]</f>
        <v>67.271428571428572</v>
      </c>
      <c r="AN31" s="52">
        <f>MAX(Tabela3[[#This Row],[Cotação 1]:[Cotação 5]])</f>
        <v>40</v>
      </c>
      <c r="AO31" s="53">
        <f>[Cotação]/[VPA]</f>
        <v>0.59460607347632188</v>
      </c>
      <c r="AP31" s="37">
        <f>IF(Tabela3[[#This Row],[Lucro/Ação]]&gt;0,Tabela3[[#This Row],[Cotação]]/(Tabela3[[#This Row],[Lucro/Ação]]/[Ref]*4),0)</f>
        <v>2.8599221789883265</v>
      </c>
      <c r="AQ31" s="85">
        <f>[Lucro Distribuir]/[Total Ações]</f>
        <v>9.965306122448979</v>
      </c>
      <c r="AR31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31" s="10" t="str">
        <f>IF(AND([% A.A.]&gt;=5%,SUMPRODUCT(N([Nome]=Tabela3[[#This Row],[Nome]]),[PL])&gt;0,[Rentabilidade s/ PL]&gt;=[Rentabilidade s/ PL Média]),"Sim","Não")</f>
        <v>Sim</v>
      </c>
      <c r="AT31" s="22">
        <f>IF([Cotação]&gt;0,Tabela3[[#This Row],[Lucro]]/Tabela3[[#This Row],[Cotação]],0)</f>
        <v>6.228316326530612E-2</v>
      </c>
      <c r="AU31" s="22">
        <f>((1+Tabela3[[#This Row],[% Yield]])^(1/(3*Tabela3[[#This Row],[Ref]])))^(12)-1</f>
        <v>8.3894628893714795E-2</v>
      </c>
      <c r="AV31" s="14">
        <f>IF([Cotação]&gt;0,($BH$1/Tabela3[[#This Row],[Cotação]]-MOD($BH$1/Tabela3[[#This Row],[Cotação]],100)),)</f>
        <v>0</v>
      </c>
      <c r="AW31" s="7">
        <f>Tabela3[[#This Row],[Ativos]]*[Lucro]</f>
        <v>0</v>
      </c>
      <c r="AX31" s="7">
        <f>SUMPRODUCT(N(Tabela1[Código]=Tabela3[[#This Row],[PAPEL]]),Tabela1[Fechamento])</f>
        <v>0</v>
      </c>
      <c r="AY31" s="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40</v>
      </c>
    </row>
    <row r="32" spans="1:54" ht="11.25" customHeight="1">
      <c r="A32" s="3" t="s">
        <v>1248</v>
      </c>
      <c r="B32" s="57" t="s">
        <v>1245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98107800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" s="18">
        <f>IF(Tabela3[[#This Row],[Lucro Líquido]]&gt;0,Tabela3[[#This Row],[Lucro Líquido]]/Tabela3[[#This Row],[Patrimônio Líquido]],0)/Tabela3[[#This Row],[Ref]]*4</f>
        <v>0.20790987875294523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2.312588816579864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100.11</v>
      </c>
      <c r="AO32" s="53">
        <f>[Cotação]/[VPA]</f>
        <v>1.4881503503928648</v>
      </c>
      <c r="AP32" s="37">
        <f>IF(Tabela3[[#This Row],[Lucro/Ação]]&gt;0,Tabela3[[#This Row],[Cotação]]/(Tabela3[[#This Row],[Lucro/Ação]]/[Ref]*4),0)</f>
        <v>7.1576702334630342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A.A.]&gt;=5%,SUMPRODUCT(N([Nome]=Tabela3[[#This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2.9863068991456337E-2</v>
      </c>
      <c r="AU32" s="22">
        <f>((1+Tabela3[[#This Row],[% Yield]])^(1/(3*Tabela3[[#This Row],[Ref]])))^(12)-1</f>
        <v>4.0014304691257552E-2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100.11</v>
      </c>
    </row>
    <row r="33" spans="1:54" ht="11.25" customHeight="1">
      <c r="A33" s="3" t="s">
        <v>270</v>
      </c>
      <c r="B33" s="58" t="s">
        <v>818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" s="18">
        <f>IF(Tabela3[[#This Row],[Lucro Líquido]]&gt;0,Tabela3[[#This Row],[Lucro Líquido]]/Tabela3[[#This Row],[Patrimônio Líquido]],0)/Tabela3[[#This Row],[Ref]]*4</f>
        <v>0.5992419175027871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2.312588816579864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t="11.25" customHeight="1">
      <c r="A34" s="3" t="s">
        <v>270</v>
      </c>
      <c r="B34" s="58" t="s">
        <v>819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" s="18">
        <f>IF(Tabela3[[#This Row],[Lucro Líquido]]&gt;0,Tabela3[[#This Row],[Lucro Líquido]]/Tabela3[[#This Row],[Patrimônio Líquido]],0)/Tabela3[[#This Row],[Ref]]*4</f>
        <v>0.5992419175027871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2.312588816579864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t="11.25" customHeight="1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919024996.22000003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" s="19">
        <f>IF(Tabela3[[#This Row],[Lucro Líquido]]&gt;0,Tabela3[[#This Row],[Lucro Líquido]]/Tabela3[[#This Row],[Patrimônio Líquido]],0)/Tabela3[[#This Row],[Ref]]*4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2.312588816579864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0.31</v>
      </c>
      <c r="AO35" s="44">
        <f>[Cotação]/[VPA]</f>
        <v>0.56555593203421051</v>
      </c>
      <c r="AP35" s="40">
        <f>IF(Tabela3[[#This Row],[Lucro/Ação]]&gt;0,Tabela3[[#This Row],[Cotação]]/(Tabela3[[#This Row],[Lucro/Ação]]/[Ref]*4),0)</f>
        <v>5.0358085908886672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A.A.]&gt;=5%,SUMPRODUCT(N([Nome]=Tabela3[[#This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4.7162237347485932E-2</v>
      </c>
      <c r="AU35" s="19">
        <f>((1+Tabela3[[#This Row],[% Yield]])^(1/(3*Tabela3[[#This Row],[Ref]])))^(12)-1</f>
        <v>4.716223734748648E-2</v>
      </c>
      <c r="AV35" s="14">
        <f>IF([Cotação]&gt;0,($BH$1/Tabela3[[#This Row],[Cotação]]-MOD($BH$1/Tabela3[[#This Row],[Cotação]],100)),)</f>
        <v>2900</v>
      </c>
      <c r="AW35" s="17">
        <f>Tabela3[[#This Row],[Ativos]]*[Lucro]</f>
        <v>42.398851375389853</v>
      </c>
      <c r="AX35" s="5">
        <f>SUMPRODUCT(N(Tabela1[Código]=Tabela3[[#This Row],[PAPEL]]),Tabela1[Fechamento])</f>
        <v>0.31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4" t="s">
        <v>14</v>
      </c>
      <c r="B36" s="57" t="s">
        <v>24</v>
      </c>
      <c r="C36" s="14" t="str">
        <f>LEFT([PAPEL],LEN([PAPEL])-(LEN([PAPEL])-4))</f>
        <v>BBAS</v>
      </c>
      <c r="D36" s="15">
        <v>4</v>
      </c>
      <c r="E36" s="6">
        <v>54000000000</v>
      </c>
      <c r="F36" s="8">
        <v>2865417020</v>
      </c>
      <c r="G36" s="81">
        <v>0.25</v>
      </c>
      <c r="H36" s="19"/>
      <c r="I36" s="19"/>
      <c r="J36" s="19"/>
      <c r="K36" s="88"/>
      <c r="L36" s="88"/>
      <c r="M36" s="55">
        <v>1224458597000</v>
      </c>
      <c r="N36" s="55">
        <v>650448226000</v>
      </c>
      <c r="O36" s="55">
        <v>783736092000</v>
      </c>
      <c r="P36" s="6">
        <v>69859729000</v>
      </c>
      <c r="Q36" s="6">
        <v>15810371000</v>
      </c>
      <c r="R36" s="6">
        <f>IF(Tabela3[[#This Row],[Ativo || Passivo]]&gt;0,Tabela3[[#This Row],[Ativo || Passivo]]-Tabela3[[#This Row],[Patrimônio Líquido]],0)</f>
        <v>1154598868000</v>
      </c>
      <c r="S36" s="6">
        <f>Tabela3[[#This Row],[Cotação]]*Tabela3[[#This Row],[Total Ações]]</f>
        <v>57107761208.599998</v>
      </c>
      <c r="T36" s="132">
        <f>IF(Tabela3[[#This Row],[Passivo Circulante]]&gt;0,Tabela3[[#This Row],[Ativo Circulante]]/Tabela3[[#This Row],[Passivo Circulante]],0)</f>
        <v>0.8299327192398841</v>
      </c>
      <c r="U3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" s="19">
        <f>IF(Tabela3[[#This Row],[Lucro Líquido]]&gt;0,Tabela3[[#This Row],[Lucro Líquido]]/Tabela3[[#This Row],[Patrimônio Líquido]],0)/Tabela3[[#This Row],[Ref]]*4</f>
        <v>0.22631595092503151</v>
      </c>
      <c r="W3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" s="19">
        <f>IF(Tabela3[[#This Row],[Dívida]]&gt;0,Tabela3[[#This Row],[Dívida]]/Tabela3[[#This Row],[Patrimônio Líquido]],0)</f>
        <v>16.527388304068573</v>
      </c>
      <c r="Y36" s="19">
        <f>SUMPRODUCT(N([Dívida / PL]&gt;0),N(RIGHT([PAPEL],LEN([PAPEL])-(LEN([PAPEL])-1))="3"),[Dívida / PL])/SUMPRODUCT(N([Dívida / PL]&gt;0),N(RIGHT([PAPEL],LEN([PAPEL])-(LEN([PAPEL])-1))="3"))</f>
        <v>2.312588816579864</v>
      </c>
      <c r="Z36" s="6">
        <f>Tabela3[[#This Row],[Capital Social]]*20%</f>
        <v>10800000000</v>
      </c>
      <c r="AA36" s="6">
        <f>IF(([Lucro Líquido]*5%)&gt;[Teto R. Legal],[Teto R. Legal],[Lucro Líquido]*5%)</f>
        <v>790518550</v>
      </c>
      <c r="AB36" s="6">
        <f>IF([Lucro Líquido]&lt;0,0,[Lucro Líquido]-[Reserva Legal])</f>
        <v>15019852450</v>
      </c>
      <c r="AC36" s="6">
        <f>Tabela3[[#This Row],[Lucro Distribuir]]*[%Div]</f>
        <v>3754963112.5</v>
      </c>
      <c r="AD36" s="21">
        <f>SUMPRODUCT(N([Nome]=Tabela3[[#This Row],[Nome]]),[Ações])</f>
        <v>2865417020</v>
      </c>
      <c r="AE36" s="6">
        <f>[Capital Social]/[Total Ações]</f>
        <v>18.845424461113865</v>
      </c>
      <c r="AF36" s="78">
        <f>Tabela3[[#This Row],[Lucro Líquido]]/Tabela3[[#This Row],[Total Ações]]</f>
        <v>5.5176509700497274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36" s="6">
        <f>[Div Base]*[Ações]</f>
        <v>3754963112.5</v>
      </c>
      <c r="AL36" s="6">
        <f>SUMPRODUCT(N([Nome]=Tabela3[[#This Row],[Nome]]),[Div Base]*[Ações])</f>
        <v>3754963112.5</v>
      </c>
      <c r="AM36" s="6">
        <f>[Patrimônio Líquido]/[Total Ações]</f>
        <v>24.380300847099736</v>
      </c>
      <c r="AN36" s="48">
        <f>MAX(Tabela3[[#This Row],[Cotação 1]:[Cotação 5]])</f>
        <v>19.93</v>
      </c>
      <c r="AO36" s="44">
        <f>[Cotação]/[VPA]</f>
        <v>0.81746325137619702</v>
      </c>
      <c r="AP36" s="40">
        <f>IF(Tabela3[[#This Row],[Lucro/Ação]]&gt;0,Tabela3[[#This Row],[Cotação]]/(Tabela3[[#This Row],[Lucro/Ação]]/[Ref]*4),0)</f>
        <v>3.6120443478903819</v>
      </c>
      <c r="AQ36" s="78">
        <f>[Lucro Distribuir]/[Total Ações]</f>
        <v>5.2417684215472411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36" s="15" t="str">
        <f>IF(AND([% A.A.]&gt;=5%,SUMPRODUCT(N([Nome]=Tabela3[[#This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6.5752238102699964E-2</v>
      </c>
      <c r="AU36" s="19">
        <f>((1+Tabela3[[#This Row],[% Yield]])^(1/(3*Tabela3[[#This Row],[Ref]])))^(12)-1</f>
        <v>6.5752238102699145E-2</v>
      </c>
      <c r="AV36" s="14">
        <f>IF([Cotação]&gt;0,($BH$1/Tabela3[[#This Row],[Cotação]]-MOD($BH$1/Tabela3[[#This Row],[Cotação]],100)),)</f>
        <v>0</v>
      </c>
      <c r="AW36" s="17">
        <f>Tabela3[[#This Row],[Ativos]]*[Lucro]</f>
        <v>0</v>
      </c>
      <c r="AX36" s="5">
        <f>SUMPRODUCT(N(Tabela1[Código]=Tabela3[[#This Row],[PAPEL]]),Tabela1[Fechamento])</f>
        <v>19.93</v>
      </c>
      <c r="AY36" s="5">
        <f>SUMPRODUCT(N(Tabela17[Código]=Tabela3[[#This Row],[PAPEL]]),Tabela17[Fechamento])</f>
        <v>0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customHeight="1">
      <c r="A37" s="4" t="s">
        <v>14</v>
      </c>
      <c r="B37" s="57" t="s">
        <v>193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122810329198.41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" s="19">
        <f>IF(Tabela3[[#This Row],[Lucro Líquido]]&gt;0,Tabela3[[#This Row],[Lucro Líquido]]/Tabela3[[#This Row],[Patrimônio Líquido]],0)/Tabela3[[#This Row],[Ref]]*4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2.312588816579864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29.19</v>
      </c>
      <c r="AO37" s="44">
        <f>[Cotação]/[VPA]</f>
        <v>1.7311907523848176</v>
      </c>
      <c r="AP37" s="40">
        <f>IF(Tabela3[[#This Row],[Lucro/Ação]]&gt;0,Tabela3[[#This Row],[Cotação]]/(Tabela3[[#This Row],[Lucro/Ação]]/[Ref]*4),0)</f>
        <v>10.224797510954932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A.A.]&gt;=5%,SUMPRODUCT(N([Nome]=Tabela3[[#This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2.2505137303301871E-2</v>
      </c>
      <c r="AU37" s="19">
        <f>((1+Tabela3[[#This Row],[% Yield]])^(1/(3*Tabela3[[#This Row],[Ref]])))^(12)-1</f>
        <v>2.2505137303302947E-2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29.19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t="11.25" customHeight="1">
      <c r="A38" s="4" t="s">
        <v>14</v>
      </c>
      <c r="B38" s="57" t="s">
        <v>194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116583563620.69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" s="19">
        <f>IF(Tabela3[[#This Row],[Lucro Líquido]]&gt;0,Tabela3[[#This Row],[Lucro Líquido]]/Tabela3[[#This Row],[Patrimônio Líquido]],0)/Tabela3[[#This Row],[Ref]]*4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2.312588816579864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27.71</v>
      </c>
      <c r="AO38" s="44">
        <f>[Cotação]/[VPA]</f>
        <v>1.6434154076253271</v>
      </c>
      <c r="AP38" s="40">
        <f>IF(Tabela3[[#This Row],[Lucro/Ação]]&gt;0,Tabela3[[#This Row],[Cotação]]/(Tabela3[[#This Row],[Lucro/Ação]]/[Ref]*4),0)</f>
        <v>9.706376808104185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2.607785834217359E-2</v>
      </c>
      <c r="AU38" s="19">
        <f>((1+Tabela3[[#This Row],[% Yield]])^(1/(3*Tabela3[[#This Row],[Ref]])))^(12)-1</f>
        <v>2.6077858342173466E-2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27.71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t="11.25" customHeight="1">
      <c r="A39" s="3" t="s">
        <v>1145</v>
      </c>
      <c r="B39" s="57" t="s">
        <v>1141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944914044.9000001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" s="18">
        <f>IF(Tabela3[[#This Row],[Lucro Líquido]]&gt;0,Tabela3[[#This Row],[Lucro Líquido]]/Tabela3[[#This Row],[Patrimônio Líquido]],0)/Tabela3[[#This Row],[Ref]]*4</f>
        <v>9.6505514391216088E-2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2.312588816579864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4.9000000000000004</v>
      </c>
      <c r="AO39" s="53">
        <f>[Cotação]/[VPA]</f>
        <v>1.3864192574279217</v>
      </c>
      <c r="AP39" s="37">
        <f>IF(Tabela3[[#This Row],[Lucro/Ação]]&gt;0,Tabela3[[#This Row],[Cotação]]/(Tabela3[[#This Row],[Lucro/Ação]]/[Ref]*4),0)</f>
        <v>14.366217994628018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1.2398879097240943E-2</v>
      </c>
      <c r="AU39" s="22">
        <f>((1+Tabela3[[#This Row],[% Yield]])^(1/(3*Tabela3[[#This Row],[Ref]])))^(12)-1</f>
        <v>1.6565907862426066E-2</v>
      </c>
      <c r="AV39" s="10">
        <f>IF([Cotação]&gt;0,($BH$1/Tabela3[[#This Row],[Cotação]]-MOD($BH$1/Tabela3[[#This Row],[Cotação]],100)),)</f>
        <v>100</v>
      </c>
      <c r="AW39" s="7">
        <f>Tabela3[[#This Row],[Ativos]]*[Lucro]</f>
        <v>6.0754507576480616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4.9000000000000004</v>
      </c>
    </row>
    <row r="40" spans="1:54" ht="11.25" customHeight="1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46240000000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" s="19">
        <f>IF(Tabela3[[#This Row],[Lucro Líquido]]&gt;0,Tabela3[[#This Row],[Lucro Líquido]]/Tabela3[[#This Row],[Patrimônio Líquido]],0)/Tabela3[[#This Row],[Ref]]*4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2.312588816579864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23.12</v>
      </c>
      <c r="AO40" s="44">
        <f>[Cotação]/[VPA]</f>
        <v>6.6616022738192262</v>
      </c>
      <c r="AP40" s="40">
        <f>IF(Tabela3[[#This Row],[Lucro/Ação]]&gt;0,Tabela3[[#This Row],[Cotação]]/(Tabela3[[#This Row],[Lucro/Ação]]/[Ref]*4),0)</f>
        <v>18.692253710153643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A.A.]&gt;=5%,SUMPRODUCT(N([Nome]=Tabela3[[#This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1.2705798010380622E-2</v>
      </c>
      <c r="AU40" s="19">
        <f>((1+Tabela3[[#This Row],[% Yield]])^(1/(3*Tabela3[[#This Row],[Ref]])))^(12)-1</f>
        <v>1.2705798010379521E-2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23.12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t="11.25" customHeight="1">
      <c r="A41" s="3" t="s">
        <v>1268</v>
      </c>
      <c r="B41" s="57" t="s">
        <v>1253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" s="18">
        <f>IF(Tabela3[[#This Row],[Lucro Líquido]]&gt;0,Tabela3[[#This Row],[Lucro Líquido]]/Tabela3[[#This Row],[Patrimônio Líquido]],0)/Tabela3[[#This Row],[Ref]]*4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2.312588816579864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A.A.]&gt;=5%,SUMPRODUCT(N([Nome]=Tabela3[[#This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 ht="11.25" customHeight="1">
      <c r="A42" s="3" t="s">
        <v>1268</v>
      </c>
      <c r="B42" s="57" t="s">
        <v>1254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64000000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" s="18">
        <f>IF(Tabela3[[#This Row],[Lucro Líquido]]&gt;0,Tabela3[[#This Row],[Lucro Líquido]]/Tabela3[[#This Row],[Patrimônio Líquido]],0)/Tabela3[[#This Row],[Ref]]*4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2.312588816579864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</v>
      </c>
      <c r="AO42" s="53">
        <f>[Cotação]/[VPA]</f>
        <v>0.17473543962344515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</v>
      </c>
    </row>
    <row r="43" spans="1:54" ht="11.25" customHeight="1">
      <c r="A43" s="3" t="s">
        <v>270</v>
      </c>
      <c r="B43" s="58" t="s">
        <v>823</v>
      </c>
      <c r="C43" s="16" t="str">
        <f>LEFT([PAPEL],LEN([PAPEL])-(LEN([PAPEL])-4))</f>
        <v>BEEF</v>
      </c>
      <c r="D43" s="16">
        <v>3</v>
      </c>
      <c r="E43" s="5">
        <v>744141845.75</v>
      </c>
      <c r="F43" s="56">
        <v>145056023</v>
      </c>
      <c r="G43" s="81">
        <v>0.25</v>
      </c>
      <c r="H43" s="87"/>
      <c r="J43" s="18"/>
      <c r="K43" s="16"/>
      <c r="L43" s="87"/>
      <c r="M43" s="54"/>
      <c r="N43" s="54"/>
      <c r="O43" s="54"/>
      <c r="P43" s="91">
        <v>536987000</v>
      </c>
      <c r="Q43" s="73">
        <v>-189214000</v>
      </c>
      <c r="R43" s="73">
        <f>IF(Tabela3[[#This Row],[Ativo || Passivo]]&gt;0,Tabela3[[#This Row],[Ativo || Passivo]]-Tabela3[[#This Row],[Patrimônio Líquido]],0)</f>
        <v>0</v>
      </c>
      <c r="S43" s="73">
        <f>Tabela3[[#This Row],[Cotação]]*Tabela3[[#This Row],[Total Ações]]</f>
        <v>1421549025.4000001</v>
      </c>
      <c r="T43" s="37">
        <f>IF(Tabela3[[#This Row],[Passivo Circulante]]&gt;0,Tabela3[[#This Row],[Ativo Circulante]]/Tabela3[[#This Row],[Passivo Circulante]],0)</f>
        <v>0</v>
      </c>
      <c r="U4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" s="18">
        <f>IF(Tabela3[[#This Row],[Lucro Líquido]]&gt;0,Tabela3[[#This Row],[Lucro Líquido]]/Tabela3[[#This Row],[Patrimônio Líquido]],0)/Tabela3[[#This Row],[Ref]]*4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2.312588816579864</v>
      </c>
      <c r="Z43" s="7">
        <f>Tabela3[[#This Row],[Capital Social]]*20%</f>
        <v>148828369.15000001</v>
      </c>
      <c r="AA43" s="47">
        <f>IF(([Lucro Líquido]*5%)&gt;[Teto R. Legal],[Teto R. Legal],[Lucro Líquido]*5%)</f>
        <v>-9460700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145056023</v>
      </c>
      <c r="AE43" s="85">
        <f>[Capital Social]/[Total Ações]</f>
        <v>5.130030662360018</v>
      </c>
      <c r="AF43" s="85">
        <f>Tabela3[[#This Row],[Lucro Líquido]]/Tabela3[[#This Row],[Total Ações]]</f>
        <v>-1.304420154963162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3.7019283232382567</v>
      </c>
      <c r="AN43" s="52">
        <f>MAX(Tabela3[[#This Row],[Cotação 1]:[Cotação 5]])</f>
        <v>9.8000000000000007</v>
      </c>
      <c r="AO43" s="53">
        <f>[Cotação]/[VPA]</f>
        <v>2.6472689755990371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9.8000000000000007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t="11.25" customHeight="1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4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>
        <v>13928557000</v>
      </c>
      <c r="N44" s="55">
        <v>8376398000</v>
      </c>
      <c r="O44" s="55">
        <v>10073478000</v>
      </c>
      <c r="P44" s="6">
        <v>967684000</v>
      </c>
      <c r="Q44" s="6">
        <v>109944000</v>
      </c>
      <c r="R44" s="6">
        <f>IF(Tabela3[[#This Row],[Ativo || Passivo]]&gt;0,Tabela3[[#This Row],[Ativo || Passivo]]-Tabela3[[#This Row],[Patrimônio Líquido]],0)</f>
        <v>12960873000</v>
      </c>
      <c r="S44" s="6">
        <f>Tabela3[[#This Row],[Cotação]]*Tabela3[[#This Row],[Total Ações]]</f>
        <v>695008293.32000005</v>
      </c>
      <c r="T44" s="132">
        <f>IF(Tabela3[[#This Row],[Passivo Circulante]]&gt;0,Tabela3[[#This Row],[Ativo Circulante]]/Tabela3[[#This Row],[Passivo Circulante]],0)</f>
        <v>0.83152988471310507</v>
      </c>
      <c r="U4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" s="19">
        <f>IF(Tabela3[[#This Row],[Lucro Líquido]]&gt;0,Tabela3[[#This Row],[Lucro Líquido]]/Tabela3[[#This Row],[Patrimônio Líquido]],0)/Tabela3[[#This Row],[Ref]]*4</f>
        <v>0.11361560178736034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" s="19">
        <f>IF(Tabela3[[#This Row],[Dívida]]&gt;0,Tabela3[[#This Row],[Dívida]]/Tabela3[[#This Row],[Patrimônio Líquido]],0)</f>
        <v>13.393703936408993</v>
      </c>
      <c r="Y44" s="19">
        <f>SUMPRODUCT(N([Dívida / PL]&gt;0),N(RIGHT([PAPEL],LEN([PAPEL])-(LEN([PAPEL])-1))="3"),[Dívida / PL])/SUMPRODUCT(N([Dívida / PL]&gt;0),N(RIGHT([PAPEL],LEN([PAPEL])-(LEN([PAPEL])-1))="3"))</f>
        <v>2.312588816579864</v>
      </c>
      <c r="Z44" s="6">
        <f>Tabela3[[#This Row],[Capital Social]]*20%</f>
        <v>145140460.90799999</v>
      </c>
      <c r="AA44" s="6">
        <f>IF(([Lucro Líquido]*5%)&gt;[Teto R. Legal],[Teto R. Legal],[Lucro Líquido]*5%)</f>
        <v>5497200</v>
      </c>
      <c r="AB44" s="6">
        <f>IF([Lucro Líquido]&lt;0,0,[Lucro Líquido]-[Reserva Legal])</f>
        <v>104446800</v>
      </c>
      <c r="AC44" s="6">
        <f>Tabela3[[#This Row],[Lucro Distribuir]]*[%Div]</f>
        <v>26111700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6.9604003959312058E-2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4" s="6">
        <f>[Div Base]*[Ações]</f>
        <v>19138415.902935926</v>
      </c>
      <c r="AL44" s="6">
        <f>SUMPRODUCT(N([Nome]=Tabela3[[#This Row],[Nome]]),[Div Base]*[Ações])</f>
        <v>26111700</v>
      </c>
      <c r="AM44" s="6">
        <f>[Patrimônio Líquido]/[Total Ações]</f>
        <v>0.61262716444156051</v>
      </c>
      <c r="AN44" s="48">
        <f>MAX(Tabela3[[#This Row],[Cotação 1]:[Cotação 5]])</f>
        <v>0.44</v>
      </c>
      <c r="AO44" s="44">
        <f>[Cotação]/[VPA]</f>
        <v>0.71821823376226135</v>
      </c>
      <c r="AP44" s="40">
        <f>IF(Tabela3[[#This Row],[Lucro/Ação]]&gt;0,Tabela3[[#This Row],[Cotação]]/(Tabela3[[#This Row],[Lucro/Ação]]/[Ref]*4),0)</f>
        <v>6.3214754176671768</v>
      </c>
      <c r="AQ44" s="78">
        <f>[Lucro Distribuir]/[Total Ações]</f>
        <v>6.6123803761346467E-2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3.7570343046219583E-2</v>
      </c>
      <c r="AU44" s="19">
        <f>((1+Tabela3[[#This Row],[% Yield]])^(1/(3*Tabela3[[#This Row],[Ref]])))^(12)-1</f>
        <v>3.7570343046219312E-2</v>
      </c>
      <c r="AV44" s="14">
        <f>IF([Cotação]&gt;0,($BH$1/Tabela3[[#This Row],[Cotação]]-MOD($BH$1/Tabela3[[#This Row],[Cotação]],100)),)</f>
        <v>2000</v>
      </c>
      <c r="AW44" s="17">
        <f>Tabela3[[#This Row],[Ativos]]*[Lucro]</f>
        <v>33.061901880673233</v>
      </c>
      <c r="AX44" s="5">
        <f>SUMPRODUCT(N(Tabela1[Código]=Tabela3[[#This Row],[PAPEL]]),Tabela1[Fechamento])</f>
        <v>0.44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customHeight="1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663417007.25999999</v>
      </c>
      <c r="T45" s="132">
        <f>IF(Tabela3[[#This Row],[Passivo Circulante]]&gt;0,Tabela3[[#This Row],[Ativo Circulante]]/Tabela3[[#This Row],[Passivo Circulante]],0)</f>
        <v>0.83152988471310507</v>
      </c>
      <c r="U4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" s="19">
        <f>IF(Tabela3[[#This Row],[Lucro Líquido]]&gt;0,Tabela3[[#This Row],[Lucro Líquido]]/Tabela3[[#This Row],[Patrimônio Líquido]],0)/Tabela3[[#This Row],[Ref]]*4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2.312588816579864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6.9604003959312058E-2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6973284.097064076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0.42</v>
      </c>
      <c r="AO45" s="44">
        <f>[Cotação]/[VPA]</f>
        <v>0.6855719504094312</v>
      </c>
      <c r="AP45" s="40">
        <f>IF(Tabela3[[#This Row],[Lucro/Ação]]&gt;0,Tabela3[[#This Row],[Cotação]]/(Tabela3[[#This Row],[Lucro/Ação]]/[Ref]*4),0)</f>
        <v>6.0341356259550318</v>
      </c>
      <c r="AQ45" s="78">
        <f>[Lucro Distribuir]/[Total Ações]</f>
        <v>6.6123803761346467E-2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3.9359407000801469E-2</v>
      </c>
      <c r="AU45" s="19">
        <f>((1+Tabela3[[#This Row],[% Yield]])^(1/(3*Tabela3[[#This Row],[Ref]])))^(12)-1</f>
        <v>3.9359407000800761E-2</v>
      </c>
      <c r="AV45" s="14">
        <f>IF([Cotação]&gt;0,($BH$1/Tabela3[[#This Row],[Cotação]]-MOD($BH$1/Tabela3[[#This Row],[Cotação]],100)),)</f>
        <v>2100</v>
      </c>
      <c r="AW45" s="17">
        <f>Tabela3[[#This Row],[Ativos]]*[Lucro]</f>
        <v>34.714996974706892</v>
      </c>
      <c r="AX45" s="5">
        <f>SUMPRODUCT(N(Tabela1[Código]=Tabela3[[#This Row],[PAPEL]]),Tabela1[Fechamento])</f>
        <v>0.42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t="11.25" customHeight="1">
      <c r="A46" s="4" t="s">
        <v>573</v>
      </c>
      <c r="B46" s="57" t="s">
        <v>574</v>
      </c>
      <c r="C46" s="15" t="str">
        <f>LEFT([PAPEL],LEN([PAPEL])-(LEN([PAPEL])-4))</f>
        <v>BEMA</v>
      </c>
      <c r="D46" s="15">
        <v>4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>
        <v>490921000</v>
      </c>
      <c r="N46" s="55">
        <v>198128000</v>
      </c>
      <c r="O46" s="55">
        <v>59309000</v>
      </c>
      <c r="P46" s="92">
        <v>403984000</v>
      </c>
      <c r="Q46" s="93">
        <v>42943000</v>
      </c>
      <c r="R46" s="93">
        <f>IF(Tabela3[[#This Row],[Ativo || Passivo]]&gt;0,Tabela3[[#This Row],[Ativo || Passivo]]-Tabela3[[#This Row],[Patrimônio Líquido]],0)</f>
        <v>86937000</v>
      </c>
      <c r="S46" s="93">
        <f>Tabela3[[#This Row],[Cotação]]*Tabela3[[#This Row],[Total Ações]]</f>
        <v>409967746.5</v>
      </c>
      <c r="T46" s="40">
        <f>IF(Tabela3[[#This Row],[Passivo Circulante]]&gt;0,Tabela3[[#This Row],[Ativo Circulante]]/Tabela3[[#This Row],[Passivo Circulante]],0)</f>
        <v>3.3406059788564972</v>
      </c>
      <c r="U4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" s="19">
        <f>IF(Tabela3[[#This Row],[Lucro Líquido]]&gt;0,Tabela3[[#This Row],[Lucro Líquido]]/Tabela3[[#This Row],[Patrimônio Líquido]],0)/Tabela3[[#This Row],[Ref]]*4</f>
        <v>0.10629876430749732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" s="19">
        <f>IF(Tabela3[[#This Row],[Dívida]]&gt;0,Tabela3[[#This Row],[Dívida]]/Tabela3[[#This Row],[Patrimônio Líquido]],0)</f>
        <v>0.21519911679670481</v>
      </c>
      <c r="Y46" s="19">
        <f>SUMPRODUCT(N([Dívida / PL]&gt;0),N(RIGHT([PAPEL],LEN([PAPEL])-(LEN([PAPEL])-1))="3"),[Dívida / PL])/SUMPRODUCT(N([Dívida / PL]&gt;0),N(RIGHT([PAPEL],LEN([PAPEL])-(LEN([PAPEL])-1))="3"))</f>
        <v>2.312588816579864</v>
      </c>
      <c r="Z46" s="13">
        <f>Tabela3[[#This Row],[Capital Social]]*20%</f>
        <v>68920224.112000003</v>
      </c>
      <c r="AA46" s="13">
        <f>IF(([Lucro Líquido]*5%)&gt;[Teto R. Legal],[Teto R. Legal],[Lucro Líquido]*5%)</f>
        <v>2147150</v>
      </c>
      <c r="AB46" s="13">
        <f>IF([Lucro Líquido]&lt;0,0,[Lucro Líquido]-[Reserva Legal])</f>
        <v>40795850</v>
      </c>
      <c r="AC46" s="13">
        <f>Tabela3[[#This Row],[Lucro Distribuir]]*[%Div]</f>
        <v>10198962.5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0.83274075318020169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6" s="13">
        <f>[Div Base]*[Ações]</f>
        <v>10198962.5</v>
      </c>
      <c r="AL46" s="13">
        <f>SUMPRODUCT(N([Nome]=Tabela3[[#This Row],[Nome]]),[Div Base]*[Ações])</f>
        <v>10198962.5</v>
      </c>
      <c r="AM46" s="6">
        <f>[Patrimônio Líquido]/[Total Ações]</f>
        <v>7.8339645677467944</v>
      </c>
      <c r="AN46" s="48">
        <f>MAX(Tabela3[[#This Row],[Cotação 1]:[Cotação 5]])</f>
        <v>7.95</v>
      </c>
      <c r="AO46" s="44">
        <f>[Cotação]/[VPA]</f>
        <v>1.0148118403204087</v>
      </c>
      <c r="AP46" s="40">
        <f>IF(Tabela3[[#This Row],[Lucro/Ação]]&gt;0,Tabela3[[#This Row],[Cotação]]/(Tabela3[[#This Row],[Lucro/Ação]]/[Ref]*4),0)</f>
        <v>9.546788685001049</v>
      </c>
      <c r="AQ46" s="78">
        <f>[Lucro Distribuir]/[Total Ações]</f>
        <v>0.79110371552119163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6" s="14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2.4877475330855083E-2</v>
      </c>
      <c r="AU46" s="42">
        <f>((1+Tabela3[[#This Row],[% Yield]])^(1/(3*Tabela3[[#This Row],[Ref]])))^(12)-1</f>
        <v>2.4877475330853382E-2</v>
      </c>
      <c r="AV46" s="14">
        <f>IF([Cotação]&gt;0,($BH$1/Tabela3[[#This Row],[Cotação]]-MOD($BH$1/Tabela3[[#This Row],[Cotação]],100)),)</f>
        <v>100</v>
      </c>
      <c r="AW46" s="17">
        <f>Tabela3[[#This Row],[Ativos]]*[Lucro]</f>
        <v>19.77759288802979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7.95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t="11.25" customHeight="1">
      <c r="A47" s="4" t="s">
        <v>14</v>
      </c>
      <c r="B47" s="57" t="s">
        <v>197</v>
      </c>
      <c r="C47" s="14" t="str">
        <f>LEFT([PAPEL],LEN([PAPEL])-(LEN([PAPEL])-4))</f>
        <v>BGIP</v>
      </c>
      <c r="D47" s="15">
        <v>4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3378125000</v>
      </c>
      <c r="N47" s="55">
        <v>2294349000</v>
      </c>
      <c r="O47" s="55">
        <v>2281662000</v>
      </c>
      <c r="P47" s="6">
        <v>279485000</v>
      </c>
      <c r="Q47" s="6">
        <v>58340000</v>
      </c>
      <c r="R47" s="6">
        <f>IF(Tabela3[[#This Row],[Ativo || Passivo]]&gt;0,Tabela3[[#This Row],[Ativo || Passivo]]-Tabela3[[#This Row],[Patrimônio Líquido]],0)</f>
        <v>3098640000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1.0055604204303705</v>
      </c>
      <c r="U4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" s="19">
        <f>IF(Tabela3[[#This Row],[Lucro Líquido]]&gt;0,Tabela3[[#This Row],[Lucro Líquido]]/Tabela3[[#This Row],[Patrimônio Líquido]],0)/Tabela3[[#This Row],[Ref]]*4</f>
        <v>0.2087410773386765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" s="19">
        <f>IF(Tabela3[[#This Row],[Dívida]]&gt;0,Tabela3[[#This Row],[Dívida]]/Tabela3[[#This Row],[Patrimônio Líquido]],0)</f>
        <v>11.086963522192605</v>
      </c>
      <c r="Y47" s="19">
        <f>SUMPRODUCT(N([Dívida / PL]&gt;0),N(RIGHT([PAPEL],LEN([PAPEL])-(LEN([PAPEL])-1))="3"),[Dívida / PL])/SUMPRODUCT(N([Dívida / PL]&gt;0),N(RIGHT([PAPEL],LEN([PAPEL])-(LEN([PAPEL])-1))="3"))</f>
        <v>2.312588816579864</v>
      </c>
      <c r="Z47" s="6">
        <f>Tabela3[[#This Row],[Capital Social]]*20%</f>
        <v>32000000</v>
      </c>
      <c r="AA47" s="6">
        <f>IF(([Lucro Líquido]*5%)&gt;[Teto R. Legal],[Teto R. Legal],[Lucro Líquido]*5%)</f>
        <v>2917000</v>
      </c>
      <c r="AB47" s="6">
        <f>IF([Lucro Líquido]&lt;0,0,[Lucro Líquido]-[Reserva Legal])</f>
        <v>55423000</v>
      </c>
      <c r="AC47" s="6">
        <f>Tabela3[[#This Row],[Lucro Distribuir]]*[%Div]</f>
        <v>13855750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5.5343471984193435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" s="6">
        <f>[Div Base]*[Ações]</f>
        <v>6712322.4648125246</v>
      </c>
      <c r="AL47" s="6">
        <f>SUMPRODUCT(N([Nome]=Tabela3[[#This Row],[Nome]]),[Div Base]*[Ações])</f>
        <v>14095877.186221</v>
      </c>
      <c r="AM47" s="6">
        <f>[Patrimônio Líquido]/[Total Ações]</f>
        <v>26.512976118447551</v>
      </c>
      <c r="AN47" s="48">
        <f>MAX(Tabela3[[#This Row],[Cotação 1]:[Cotação 5]])</f>
        <v>43.25</v>
      </c>
      <c r="AO47" s="44">
        <f>[Cotação]/[VPA]</f>
        <v>1.63127669284577</v>
      </c>
      <c r="AP47" s="40">
        <f>IF(Tabela3[[#This Row],[Lucro/Ação]]&gt;0,Tabela3[[#This Row],[Cotação]]/(Tabela3[[#This Row],[Lucro/Ação]]/[Ref]*4),0)</f>
        <v>7.8148331590675353</v>
      </c>
      <c r="AQ47" s="78">
        <f>[Lucro Distribuir]/[Total Ações]</f>
        <v>5.2576298384983762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" s="15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2.9445346714216575E-2</v>
      </c>
      <c r="AU47" s="19">
        <f>((1+Tabela3[[#This Row],[% Yield]])^(1/(3*Tabela3[[#This Row],[Ref]])))^(12)-1</f>
        <v>2.9445346714217058E-2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t="11.25" customHeight="1">
      <c r="A48" s="4" t="s">
        <v>14</v>
      </c>
      <c r="B48" s="57" t="s">
        <v>198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459501456.78000003</v>
      </c>
      <c r="T48" s="132">
        <f>IF(Tabela3[[#This Row],[Passivo Circulante]]&gt;0,Tabela3[[#This Row],[Ativo Circulante]]/Tabela3[[#This Row],[Passivo Circulante]],0)</f>
        <v>1.0055604204303705</v>
      </c>
      <c r="U4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" s="19">
        <f>IF(Tabela3[[#This Row],[Lucro Líquido]]&gt;0,Tabela3[[#This Row],[Lucro Líquido]]/Tabela3[[#This Row],[Patrimônio Líquido]],0)/Tabela3[[#This Row],[Ref]]*4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2.312588816579864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5.5343471984193435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8" s="6">
        <f>[Div Base]*[Ações]</f>
        <v>7383554.7214084752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43.59</v>
      </c>
      <c r="AO48" s="44">
        <f>[Cotação]/[VPA]</f>
        <v>1.6441006021074478</v>
      </c>
      <c r="AP48" s="40">
        <f>IF(Tabela3[[#This Row],[Lucro/Ação]]&gt;0,Tabela3[[#This Row],[Cotação]]/(Tabela3[[#This Row],[Lucro/Ação]]/[Ref]*4),0)</f>
        <v>7.8762676856359279</v>
      </c>
      <c r="AQ48" s="78">
        <f>[Lucro Distribuir]/[Total Ações]</f>
        <v>5.2576298384983762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3.2137241840970138E-2</v>
      </c>
      <c r="AU48" s="19">
        <f>((1+Tabela3[[#This Row],[% Yield]])^(1/(3*Tabela3[[#This Row],[Ref]])))^(12)-1</f>
        <v>3.2137241840969111E-2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43.59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t="11.25" customHeight="1">
      <c r="A49" s="4" t="s">
        <v>14</v>
      </c>
      <c r="B49" s="57" t="s">
        <v>203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" s="19">
        <f>IF(Tabela3[[#This Row],[Lucro Líquido]]&gt;0,Tabela3[[#This Row],[Lucro Líquido]]/Tabela3[[#This Row],[Patrimônio Líquido]],0)/Tabela3[[#This Row],[Ref]]*4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2.312588816579864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100</v>
      </c>
      <c r="AW49" s="17">
        <f>Tabela3[[#This Row],[Ativos]]*[Lucro]</f>
        <v>5.730252268602821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t="11.25" customHeight="1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1788028232.8300002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" s="19">
        <f>IF(Tabela3[[#This Row],[Lucro Líquido]]&gt;0,Tabela3[[#This Row],[Lucro Líquido]]/Tabela3[[#This Row],[Patrimônio Líquido]],0)/Tabela3[[#This Row],[Ref]]*4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2.312588816579864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7.07</v>
      </c>
      <c r="AO50" s="44">
        <f>[Cotação]/[VPA]</f>
        <v>0.91583620355521189</v>
      </c>
      <c r="AP50" s="40">
        <f>IF(Tabela3[[#This Row],[Lucro/Ação]]&gt;0,Tabela3[[#This Row],[Cotação]]/(Tabela3[[#This Row],[Lucro/Ação]]/[Ref]*4),0)</f>
        <v>29.302811138006195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8.1050244251807922E-3</v>
      </c>
      <c r="AU50" s="19">
        <f>((1+Tabela3[[#This Row],[% Yield]])^(1/(3*Tabela3[[#This Row],[Ref]])))^(12)-1</f>
        <v>8.1050244251816839E-3</v>
      </c>
      <c r="AV50" s="14">
        <f>IF([Cotação]&gt;0,($BH$1/Tabela3[[#This Row],[Cotação]]-MOD($BH$1/Tabela3[[#This Row],[Cotação]],100)),)</f>
        <v>100</v>
      </c>
      <c r="AW50" s="17">
        <f>Tabela3[[#This Row],[Ativos]]*[Lucro]</f>
        <v>5.730252268602821</v>
      </c>
      <c r="AX50" s="5">
        <f>SUMPRODUCT(N(Tabela1[Código]=Tabela3[[#This Row],[PAPEL]]),Tabela1[Fechamento])</f>
        <v>7.07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t="11.25" customHeight="1">
      <c r="A51" s="4" t="s">
        <v>740</v>
      </c>
      <c r="B51" s="57" t="s">
        <v>736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" s="19">
        <f>IF(Tabela3[[#This Row],[Lucro Líquido]]&gt;0,Tabela3[[#This Row],[Lucro Líquido]]/Tabela3[[#This Row],[Patrimônio Líquido]],0)/Tabela3[[#This Row],[Ref]]*4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2.312588816579864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t="11.25" customHeight="1">
      <c r="A52" s="3" t="s">
        <v>1060</v>
      </c>
      <c r="B52" s="58" t="s">
        <v>1061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812022823.91999996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2" s="18">
        <f>IF(Tabela3[[#This Row],[Lucro Líquido]]&gt;0,Tabela3[[#This Row],[Lucro Líquido]]/Tabela3[[#This Row],[Patrimônio Líquido]],0)/Tabela3[[#This Row],[Ref]]*4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2.312588816579864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1.41</v>
      </c>
      <c r="AO52" s="53">
        <f>[Cotação]/[VPA]</f>
        <v>0.31278649259483388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600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1.41</v>
      </c>
      <c r="BB52" s="7">
        <f>SUMPRODUCT(N(Tabela17683[Código]=Tabela3[[#This Row],[PAPEL]]),Tabela17683[Fechamento])</f>
        <v>0</v>
      </c>
    </row>
    <row r="53" spans="1:54" ht="11.25" customHeight="1">
      <c r="A53" s="4" t="s">
        <v>14</v>
      </c>
      <c r="B53" s="57" t="s">
        <v>539</v>
      </c>
      <c r="C53" s="15" t="str">
        <f>LEFT([PAPEL],LEN([PAPEL])-(LEN([PAPEL])-4))</f>
        <v>BMEB</v>
      </c>
      <c r="D53" s="15">
        <v>4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>
        <v>13463359000</v>
      </c>
      <c r="N53" s="55">
        <v>8915470000</v>
      </c>
      <c r="O53" s="55">
        <v>4526213000</v>
      </c>
      <c r="P53" s="92">
        <v>847554000</v>
      </c>
      <c r="Q53" s="93">
        <v>827000</v>
      </c>
      <c r="R53" s="93">
        <f>IF(Tabela3[[#This Row],[Ativo || Passivo]]&gt;0,Tabela3[[#This Row],[Ativo || Passivo]]-Tabela3[[#This Row],[Patrimônio Líquido]],0)</f>
        <v>12615805000</v>
      </c>
      <c r="S53" s="93">
        <f>Tabela3[[#This Row],[Cotação]]*Tabela3[[#This Row],[Total Ações]]</f>
        <v>576250000</v>
      </c>
      <c r="T53" s="40">
        <f>IF(Tabela3[[#This Row],[Passivo Circulante]]&gt;0,Tabela3[[#This Row],[Ativo Circulante]]/Tabela3[[#This Row],[Passivo Circulante]],0)</f>
        <v>1.9697415919224306</v>
      </c>
      <c r="U5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3" s="19">
        <f>IF(Tabela3[[#This Row],[Lucro Líquido]]&gt;0,Tabela3[[#This Row],[Lucro Líquido]]/Tabela3[[#This Row],[Patrimônio Líquido]],0)/Tabela3[[#This Row],[Ref]]*4</f>
        <v>9.7574903781941918E-4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3" s="19">
        <f>IF(Tabela3[[#This Row],[Dívida]]&gt;0,Tabela3[[#This Row],[Dívida]]/Tabela3[[#This Row],[Patrimônio Líquido]],0)</f>
        <v>14.884957182669186</v>
      </c>
      <c r="Y53" s="19">
        <f>SUMPRODUCT(N([Dívida / PL]&gt;0),N(RIGHT([PAPEL],LEN([PAPEL])-(LEN([PAPEL])-1))="3"),[Dívida / PL])/SUMPRODUCT(N([Dívida / PL]&gt;0),N(RIGHT([PAPEL],LEN([PAPEL])-(LEN([PAPEL])-1))="3"))</f>
        <v>2.312588816579864</v>
      </c>
      <c r="Z53" s="13">
        <f>Tabela3[[#This Row],[Capital Social]]*20%</f>
        <v>86668000</v>
      </c>
      <c r="AA53" s="13">
        <f>IF(([Lucro Líquido]*5%)&gt;[Teto R. Legal],[Teto R. Legal],[Lucro Líquido]*5%)</f>
        <v>41350</v>
      </c>
      <c r="AB53" s="13">
        <f>IF([Lucro Líquido]&lt;0,0,[Lucro Líquido]-[Reserva Legal])</f>
        <v>785650</v>
      </c>
      <c r="AC53" s="13">
        <f>Tabela3[[#This Row],[Lucro Distribuir]]*[%Div]</f>
        <v>196412.5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1.7939262472885034E-2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785650</v>
      </c>
      <c r="AM53" s="6">
        <f>[Patrimônio Líquido]/[Total Ações]</f>
        <v>18.385119305856833</v>
      </c>
      <c r="AN53" s="48">
        <f>MAX(Tabela3[[#This Row],[Cotação 1]:[Cotação 5]])</f>
        <v>12.5</v>
      </c>
      <c r="AO53" s="44">
        <f>[Cotação]/[VPA]</f>
        <v>0.67989768203559897</v>
      </c>
      <c r="AP53" s="40">
        <f>IF(Tabela3[[#This Row],[Lucro/Ação]]&gt;0,Tabela3[[#This Row],[Cotação]]/(Tabela3[[#This Row],[Lucro/Ação]]/[Ref]*4),0)</f>
        <v>696.79564691656583</v>
      </c>
      <c r="AQ53" s="78">
        <f>[Lucro Distribuir]/[Total Ações]</f>
        <v>1.7042299349240782E-2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A.A.]&gt;=5%,SUMPRODUCT(N([Nome]=Tabela3[[#This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12.5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t="11.25" customHeight="1">
      <c r="A54" s="4" t="s">
        <v>14</v>
      </c>
      <c r="B54" s="57" t="s">
        <v>540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>
        <v>13463359000</v>
      </c>
      <c r="N54" s="55">
        <v>8915470000</v>
      </c>
      <c r="O54" s="55">
        <v>4526213000</v>
      </c>
      <c r="P54" s="92">
        <v>847554000</v>
      </c>
      <c r="Q54" s="93">
        <v>827000</v>
      </c>
      <c r="R54" s="93">
        <f>IF(Tabela3[[#This Row],[Ativo || Passivo]]&gt;0,Tabela3[[#This Row],[Ativo || Passivo]]-Tabela3[[#This Row],[Patrimônio Líquido]],0)</f>
        <v>12615805000</v>
      </c>
      <c r="S54" s="93">
        <f>Tabela3[[#This Row],[Cotação]]*Tabela3[[#This Row],[Total Ações]]</f>
        <v>323161000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4" s="19">
        <f>IF(Tabela3[[#This Row],[Lucro Líquido]]&gt;0,Tabela3[[#This Row],[Lucro Líquido]]/Tabela3[[#This Row],[Patrimônio Líquido]],0)/Tabela3[[#This Row],[Ref]]*4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2.312588816579864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1.7939262472885034E-2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4" s="13">
        <f>[Div Base]*[Ações]</f>
        <v>785650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7.01</v>
      </c>
      <c r="AO54" s="44">
        <f>[Cotação]/[VPA]</f>
        <v>0.38128662008556385</v>
      </c>
      <c r="AP54" s="40">
        <f>IF(Tabela3[[#This Row],[Lucro/Ação]]&gt;0,Tabela3[[#This Row],[Cotação]]/(Tabela3[[#This Row],[Lucro/Ação]]/[Ref]*4),0)</f>
        <v>390.76299879081012</v>
      </c>
      <c r="AQ54" s="78">
        <f>[Lucro Distribuir]/[Total Ações]</f>
        <v>1.7042299349240782E-2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5.6495649531743955E-3</v>
      </c>
      <c r="AU54" s="42">
        <f>((1+Tabela3[[#This Row],[% Yield]])^(1/(3*Tabela3[[#This Row],[Ref]])))^(12)-1</f>
        <v>5.6495649531753678E-3</v>
      </c>
      <c r="AV54" s="14">
        <f>IF([Cotação]&gt;0,($BH$1/Tabela3[[#This Row],[Cotação]]-MOD($BH$1/Tabela3[[#This Row],[Cotação]],100)),)</f>
        <v>100</v>
      </c>
      <c r="AW54" s="17">
        <f>Tabela3[[#This Row],[Ativos]]*[Lucro]</f>
        <v>3.9603450321752511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7.01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t="11.25" customHeight="1">
      <c r="A55" s="4" t="s">
        <v>14</v>
      </c>
      <c r="B55" s="57" t="s">
        <v>205</v>
      </c>
      <c r="C55" s="14" t="str">
        <f>LEFT([PAPEL],LEN([PAPEL])-(LEN([PAPEL])-4))</f>
        <v>BMIN</v>
      </c>
      <c r="D55" s="15">
        <v>3</v>
      </c>
      <c r="E55" s="6">
        <v>25552800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/>
      <c r="N55" s="55"/>
      <c r="O55" s="55"/>
      <c r="P55" s="6">
        <v>56483000</v>
      </c>
      <c r="Q55" s="6">
        <v>1359000</v>
      </c>
      <c r="R55" s="6">
        <f>IF(Tabela3[[#This Row],[Ativo || Passivo]]&gt;0,Tabela3[[#This Row],[Ativo || Passivo]]-Tabela3[[#This Row],[Patrimônio Líquido]],0)</f>
        <v>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0</v>
      </c>
      <c r="U5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5" s="19">
        <f>IF(Tabela3[[#This Row],[Lucro Líquido]]&gt;0,Tabela3[[#This Row],[Lucro Líquido]]/Tabela3[[#This Row],[Patrimônio Líquido]],0)/Tabela3[[#This Row],[Ref]]*4</f>
        <v>3.2080448984650248E-2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5" s="19">
        <f>IF(Tabela3[[#This Row],[Dívida]]&gt;0,Tabela3[[#This Row],[Dívida]]/Tabela3[[#This Row],[Patrimônio Líquido]],0)</f>
        <v>0</v>
      </c>
      <c r="Y55" s="19">
        <f>SUMPRODUCT(N([Dívida / PL]&gt;0),N(RIGHT([PAPEL],LEN([PAPEL])-(LEN([PAPEL])-1))="3"),[Dívida / PL])/SUMPRODUCT(N([Dívida / PL]&gt;0),N(RIGHT([PAPEL],LEN([PAPEL])-(LEN([PAPEL])-1))="3"))</f>
        <v>2.312588816579864</v>
      </c>
      <c r="Z55" s="6">
        <f>Tabela3[[#This Row],[Capital Social]]*20%</f>
        <v>5110560</v>
      </c>
      <c r="AA55" s="6">
        <f>IF(([Lucro Líquido]*5%)&gt;[Teto R. Legal],[Teto R. Legal],[Lucro Líquido]*5%)</f>
        <v>67950</v>
      </c>
      <c r="AB55" s="6">
        <f>IF([Lucro Líquido]&lt;0,0,[Lucro Líquido]-[Reserva Legal])</f>
        <v>1291050</v>
      </c>
      <c r="AC55" s="6">
        <f>Tabela3[[#This Row],[Lucro Distribuir]]*[%Div]</f>
        <v>322762.5</v>
      </c>
      <c r="AD55" s="21">
        <f>SUMPRODUCT(N([Nome]=Tabela3[[#This Row],[Nome]]),[Ações])</f>
        <v>182520000</v>
      </c>
      <c r="AE55" s="6">
        <f>[Capital Social]/[Total Ações]</f>
        <v>0.14000000000000001</v>
      </c>
      <c r="AF55" s="78">
        <f>Tabela3[[#This Row],[Lucro Líquido]]/Tabela3[[#This Row],[Total Ações]]</f>
        <v>7.4457593688362919E-3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695940.33600000013</v>
      </c>
      <c r="AM55" s="6">
        <f>[Patrimônio Líquido]/[Total Ações]</f>
        <v>0.30946197676966908</v>
      </c>
      <c r="AN55" s="48">
        <f>MAX(Tabela3[[#This Row],[Cotação 1]:[Cotação 5]])</f>
        <v>1</v>
      </c>
      <c r="AO55" s="44">
        <f>[Cotação]/[VPA]</f>
        <v>3.2314147619637765</v>
      </c>
      <c r="AP55" s="40">
        <f>IF(Tabela3[[#This Row],[Lucro/Ação]]&gt;0,Tabela3[[#This Row],[Cotação]]/(Tabela3[[#This Row],[Lucro/Ação]]/[Ref]*4),0)</f>
        <v>100.72847682119205</v>
      </c>
      <c r="AQ55" s="78">
        <f>[Lucro Distribuir]/[Total Ações]</f>
        <v>7.0734714003944776E-3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900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3</v>
      </c>
      <c r="E56" s="6">
        <v>25552800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/>
      <c r="N56" s="55"/>
      <c r="O56" s="55"/>
      <c r="P56" s="6">
        <v>56483000</v>
      </c>
      <c r="Q56" s="6">
        <v>1359000</v>
      </c>
      <c r="R56" s="6">
        <f>IF(Tabela3[[#This Row],[Ativo || Passivo]]&gt;0,Tabela3[[#This Row],[Ativo || Passivo]]-Tabela3[[#This Row],[Patrimônio Líquido]],0)</f>
        <v>0</v>
      </c>
      <c r="S56" s="6">
        <f>Tabela3[[#This Row],[Cotação]]*Tabela3[[#This Row],[Total Ações]]</f>
        <v>40154400</v>
      </c>
      <c r="T56" s="132">
        <f>IF(Tabela3[[#This Row],[Passivo Circulante]]&gt;0,Tabela3[[#This Row],[Ativo Circulante]]/Tabela3[[#This Row],[Passivo Circulante]],0)</f>
        <v>0</v>
      </c>
      <c r="U5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6" s="19">
        <f>IF(Tabela3[[#This Row],[Lucro Líquido]]&gt;0,Tabela3[[#This Row],[Lucro Líquido]]/Tabela3[[#This Row],[Patrimônio Líquido]],0)/Tabela3[[#This Row],[Ref]]*4</f>
        <v>3.2080448984650248E-2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6" s="19">
        <f>IF(Tabela3[[#This Row],[Dívida]]&gt;0,Tabela3[[#This Row],[Dívida]]/Tabela3[[#This Row],[Patrimônio Líquido]],0)</f>
        <v>0</v>
      </c>
      <c r="Y56" s="19">
        <f>SUMPRODUCT(N([Dívida / PL]&gt;0),N(RIGHT([PAPEL],LEN([PAPEL])-(LEN([PAPEL])-1))="3"),[Dívida / PL])/SUMPRODUCT(N([Dívida / PL]&gt;0),N(RIGHT([PAPEL],LEN([PAPEL])-(LEN([PAPEL])-1))="3"))</f>
        <v>2.312588816579864</v>
      </c>
      <c r="Z56" s="6">
        <f>Tabela3[[#This Row],[Capital Social]]*20%</f>
        <v>5110560</v>
      </c>
      <c r="AA56" s="6">
        <f>IF(([Lucro Líquido]*5%)&gt;[Teto R. Legal],[Teto R. Legal],[Lucro Líquido]*5%)</f>
        <v>67950</v>
      </c>
      <c r="AB56" s="6">
        <f>IF([Lucro Líquido]&lt;0,0,[Lucro Líquido]-[Reserva Legal])</f>
        <v>1291050</v>
      </c>
      <c r="AC56" s="6">
        <f>Tabela3[[#This Row],[Lucro Distribuir]]*[%Div]</f>
        <v>322762.5</v>
      </c>
      <c r="AD56" s="21">
        <f>SUMPRODUCT(N([Nome]=Tabela3[[#This Row],[Nome]]),[Ações])</f>
        <v>182520000</v>
      </c>
      <c r="AE56" s="6">
        <f>[Capital Social]/[Total Ações]</f>
        <v>0.14000000000000001</v>
      </c>
      <c r="AF56" s="78">
        <f>Tabela3[[#This Row],[Lucro Líquido]]/Tabela3[[#This Row],[Total Ações]]</f>
        <v>7.4457593688362919E-3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9.8000000000000014E-3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AK56" s="6">
        <f>[Div Base]*[Ações]</f>
        <v>695940.33600000013</v>
      </c>
      <c r="AL56" s="6">
        <f>SUMPRODUCT(N([Nome]=Tabela3[[#This Row],[Nome]]),[Div Base]*[Ações])</f>
        <v>695940.33600000013</v>
      </c>
      <c r="AM56" s="6">
        <f>[Patrimônio Líquido]/[Total Ações]</f>
        <v>0.30946197676966908</v>
      </c>
      <c r="AN56" s="48">
        <f>MAX(Tabela3[[#This Row],[Cotação 1]:[Cotação 5]])</f>
        <v>0.22</v>
      </c>
      <c r="AO56" s="44">
        <f>[Cotação]/[VPA]</f>
        <v>0.71091124763203084</v>
      </c>
      <c r="AP56" s="40">
        <f>IF(Tabela3[[#This Row],[Lucro/Ação]]&gt;0,Tabela3[[#This Row],[Cotação]]/(Tabela3[[#This Row],[Lucro/Ação]]/[Ref]*4),0)</f>
        <v>22.160264900662252</v>
      </c>
      <c r="AQ56" s="78">
        <f>[Lucro Distribuir]/[Total Ações]</f>
        <v>7.0734714003944776E-3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4.4545454545454555E-2</v>
      </c>
      <c r="AU56" s="19">
        <f>((1+Tabela3[[#This Row],[% Yield]])^(1/(3*Tabela3[[#This Row],[Ref]])))^(12)-1</f>
        <v>5.9830608532723595E-2</v>
      </c>
      <c r="AV56" s="14">
        <f>IF([Cotação]&gt;0,($BH$1/Tabela3[[#This Row],[Cotação]]-MOD($BH$1/Tabela3[[#This Row],[Cotação]],100)),)</f>
        <v>4000</v>
      </c>
      <c r="AW56" s="17">
        <f>Tabela3[[#This Row],[Ativos]]*[Lucro]</f>
        <v>39.200000000000003</v>
      </c>
      <c r="AX56" s="5">
        <f>SUMPRODUCT(N(Tabela1[Código]=Tabela3[[#This Row],[PAPEL]]),Tabela1[Fechamento])</f>
        <v>0.22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t="11.25" customHeight="1">
      <c r="A57" s="3" t="s">
        <v>864</v>
      </c>
      <c r="B57" s="58" t="s">
        <v>862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145747375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7" s="18">
        <f>IF(Tabela3[[#This Row],[Lucro Líquido]]&gt;0,Tabela3[[#This Row],[Lucro Líquido]]/Tabela3[[#This Row],[Patrimônio Líquido]],0)/Tabela3[[#This Row],[Ref]]*4</f>
        <v>5.5752037196560709E-2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2.312588816579864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320.5</v>
      </c>
      <c r="AO57" s="53">
        <f>[Cotação]/[VPA]</f>
        <v>0.77981891288877947</v>
      </c>
      <c r="AP57" s="37">
        <f>IF(Tabela3[[#This Row],[Lucro/Ação]]&gt;0,Tabela3[[#This Row],[Cotação]]/(Tabela3[[#This Row],[Lucro/Ação]]/[Ref]*4),0)</f>
        <v>13.98727207293666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1.2734791964520802E-2</v>
      </c>
      <c r="AU57" s="22">
        <f>((1+Tabela3[[#This Row],[% Yield]])^(1/(3*Tabela3[[#This Row],[Ref]])))^(12)-1</f>
        <v>1.7015660041064917E-2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320.5</v>
      </c>
      <c r="BB57" s="7">
        <f>SUMPRODUCT(N(Tabela17683[Código]=Tabela3[[#This Row],[PAPEL]]),Tabela17683[Fechamento])</f>
        <v>0</v>
      </c>
    </row>
    <row r="58" spans="1:54" ht="11.25" customHeight="1">
      <c r="A58" s="3" t="s">
        <v>868</v>
      </c>
      <c r="B58" s="58" t="s">
        <v>873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2234266405.8000002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8" s="18">
        <f>IF(Tabela3[[#This Row],[Lucro Líquido]]&gt;0,Tabela3[[#This Row],[Lucro Líquido]]/Tabela3[[#This Row],[Patrimônio Líquido]],0)/Tabela3[[#This Row],[Ref]]*4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2.312588816579864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0.78</v>
      </c>
      <c r="AO58" s="53">
        <f>[Cotação]/[VPA]</f>
        <v>2.1042252832925219</v>
      </c>
      <c r="AP58" s="37">
        <f>IF(Tabela3[[#This Row],[Lucro/Ação]]&gt;0,Tabela3[[#This Row],[Cotação]]/(Tabela3[[#This Row],[Lucro/Ação]]/[Ref]*4),0)</f>
        <v>6.1814153747831648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3.7226178460879111E-2</v>
      </c>
      <c r="AU58" s="22">
        <f>((1+Tabela3[[#This Row],[% Yield]])^(1/(3*Tabela3[[#This Row],[Ref]])))^(12)-1</f>
        <v>3.7226178460878501E-2</v>
      </c>
      <c r="AV58" s="10">
        <f>IF([Cotação]&gt;0,($BH$1/Tabela3[[#This Row],[Cotação]]-MOD($BH$1/Tabela3[[#This Row],[Cotação]],100)),)</f>
        <v>1100</v>
      </c>
      <c r="AW58" s="7">
        <f>Tabela3[[#This Row],[Ativos]]*[Lucro]</f>
        <v>31.940061119434276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0.78</v>
      </c>
      <c r="BB58" s="7">
        <f>SUMPRODUCT(N(Tabela17683[Código]=Tabela3[[#This Row],[PAPEL]]),Tabela17683[Fechamento])</f>
        <v>0</v>
      </c>
    </row>
    <row r="59" spans="1:54" ht="11.25" customHeight="1">
      <c r="A59" s="3" t="s">
        <v>868</v>
      </c>
      <c r="B59" s="58" t="s">
        <v>874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2492066375.6999998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9" s="18">
        <f>IF(Tabela3[[#This Row],[Lucro Líquido]]&gt;0,Tabela3[[#This Row],[Lucro Líquido]]/Tabela3[[#This Row],[Patrimônio Líquido]],0)/Tabela3[[#This Row],[Ref]]*4</f>
        <v>0.29075856896152924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2.312588816579864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0.87</v>
      </c>
      <c r="AO59" s="53">
        <f>[Cotação]/[VPA]</f>
        <v>2.0986458332210494</v>
      </c>
      <c r="AP59" s="37">
        <f>IF(Tabela3[[#This Row],[Lucro/Ação]]&gt;0,Tabela3[[#This Row],[Cotação]]/(Tabela3[[#This Row],[Lucro/Ação]]/[Ref]*4),0)</f>
        <v>7.217829695326107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2.6301692832411426E-2</v>
      </c>
      <c r="AU59" s="22">
        <f>((1+Tabela3[[#This Row],[% Yield]])^(1/(3*Tabela3[[#This Row],[Ref]])))^(12)-1</f>
        <v>3.5221763647795612E-2</v>
      </c>
      <c r="AV59" s="10">
        <f>IF([Cotação]&gt;0,($BH$1/Tabela3[[#This Row],[Cotação]]-MOD($BH$1/Tabela3[[#This Row],[Cotação]],100)),)</f>
        <v>1000</v>
      </c>
      <c r="AW59" s="7">
        <f>Tabela3[[#This Row],[Ativos]]*[Lucro]</f>
        <v>22.882472764197942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0.87</v>
      </c>
      <c r="BB59" s="7">
        <f>SUMPRODUCT(N(Tabela17683[Código]=Tabela3[[#This Row],[PAPEL]]),Tabela17683[Fechamento])</f>
        <v>0</v>
      </c>
    </row>
    <row r="60" spans="1:54" ht="11.25" customHeight="1">
      <c r="A60" s="4" t="s">
        <v>14</v>
      </c>
      <c r="B60" s="57" t="s">
        <v>206</v>
      </c>
      <c r="C60" s="14" t="str">
        <f>LEFT([PAPEL],LEN([PAPEL])-(LEN([PAPEL])-4))</f>
        <v>BNBR</v>
      </c>
      <c r="D60" s="15">
        <v>4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>
        <v>33817503000</v>
      </c>
      <c r="N60" s="55">
        <v>15349319000</v>
      </c>
      <c r="O60" s="55">
        <v>13285888000</v>
      </c>
      <c r="P60" s="6">
        <v>3039830000</v>
      </c>
      <c r="Q60" s="6">
        <v>360357000</v>
      </c>
      <c r="R60" s="6">
        <f>IF(Tabela3[[#This Row],[Ativo || Passivo]]&gt;0,Tabela3[[#This Row],[Ativo || Passivo]]-Tabela3[[#This Row],[Patrimônio Líquido]],0)</f>
        <v>30777673000</v>
      </c>
      <c r="S60" s="6">
        <f>Tabela3[[#This Row],[Cotação]]*Tabela3[[#This Row],[Total Ações]]</f>
        <v>2175917544.0100002</v>
      </c>
      <c r="T60" s="132">
        <f>IF(Tabela3[[#This Row],[Passivo Circulante]]&gt;0,Tabela3[[#This Row],[Ativo Circulante]]/Tabela3[[#This Row],[Passivo Circulante]],0)</f>
        <v>1.1553099800329492</v>
      </c>
      <c r="U6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0" s="19">
        <f>IF(Tabela3[[#This Row],[Lucro Líquido]]&gt;0,Tabela3[[#This Row],[Lucro Líquido]]/Tabela3[[#This Row],[Patrimônio Líquido]],0)/Tabela3[[#This Row],[Ref]]*4</f>
        <v>0.11854511600977687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0" s="19">
        <f>IF(Tabela3[[#This Row],[Dívida]]&gt;0,Tabela3[[#This Row],[Dívida]]/Tabela3[[#This Row],[Patrimônio Líquido]],0)</f>
        <v>10.124800728988134</v>
      </c>
      <c r="Y60" s="19">
        <f>SUMPRODUCT(N([Dívida / PL]&gt;0),N(RIGHT([PAPEL],LEN([PAPEL])-(LEN([PAPEL])-1))="3"),[Dívida / PL])/SUMPRODUCT(N([Dívida / PL]&gt;0),N(RIGHT([PAPEL],LEN([PAPEL])-(LEN([PAPEL])-1))="3"))</f>
        <v>2.312588816579864</v>
      </c>
      <c r="Z60" s="6">
        <f>Tabela3[[#This Row],[Capital Social]]*20%</f>
        <v>487400000</v>
      </c>
      <c r="AA60" s="6">
        <f>IF(([Lucro Líquido]*5%)&gt;[Teto R. Legal],[Teto R. Legal],[Lucro Líquido]*5%)</f>
        <v>18017850</v>
      </c>
      <c r="AB60" s="6">
        <f>IF([Lucro Líquido]&lt;0,0,[Lucro Líquido]-[Reserva Legal])</f>
        <v>342339150</v>
      </c>
      <c r="AC60" s="6">
        <f>Tabela3[[#This Row],[Lucro Distribuir]]*[%Div]</f>
        <v>85584787.5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4.1419439789022539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0" s="6">
        <f>[Div Base]*[Ações]</f>
        <v>47695040.196424127</v>
      </c>
      <c r="AL60" s="6">
        <f>SUMPRODUCT(N([Nome]=Tabela3[[#This Row],[Nome]]),[Div Base]*[Ações])</f>
        <v>85584787.5</v>
      </c>
      <c r="AM60" s="6">
        <f>[Patrimônio Líquido]/[Total Ações]</f>
        <v>34.939811257687346</v>
      </c>
      <c r="AN60" s="48">
        <f>MAX(Tabela3[[#This Row],[Cotação 1]:[Cotação 5]])</f>
        <v>25.01</v>
      </c>
      <c r="AO60" s="44">
        <f>[Cotação]/[VPA]</f>
        <v>0.71580237842576733</v>
      </c>
      <c r="AP60" s="40">
        <f>IF(Tabela3[[#This Row],[Lucro/Ação]]&gt;0,Tabela3[[#This Row],[Cotação]]/(Tabela3[[#This Row],[Lucro/Ação]]/[Ref]*4),0)</f>
        <v>6.0382274910991054</v>
      </c>
      <c r="AQ60" s="78">
        <f>[Lucro Distribuir]/[Total Ações]</f>
        <v>3.9348467799571414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0" s="15" t="str">
        <f>IF(AND([% A.A.]&gt;=5%,SUMPRODUCT(N([Nome]=Tabela3[[#This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3.9332734705689133E-2</v>
      </c>
      <c r="AU60" s="19">
        <f>((1+Tabela3[[#This Row],[% Yield]])^(1/(3*Tabela3[[#This Row],[Ref]])))^(12)-1</f>
        <v>3.9332734705688432E-2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25.01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ht="11.25" customHeight="1">
      <c r="A61" s="4" t="s">
        <v>14</v>
      </c>
      <c r="B61" s="57" t="s">
        <v>207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1.1553099800329492</v>
      </c>
      <c r="U6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1" s="19">
        <f>IF(Tabela3[[#This Row],[Lucro Líquido]]&gt;0,Tabela3[[#This Row],[Lucro Líquido]]/Tabela3[[#This Row],[Patrimônio Líquido]],0)/Tabela3[[#This Row],[Ref]]*4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2.312588816579864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4.1419439789022539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37889747.303575873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27.01</v>
      </c>
      <c r="AO61" s="44">
        <f>[Cotação]/[VPA]</f>
        <v>0.77304367218232606</v>
      </c>
      <c r="AP61" s="40">
        <f>IF(Tabela3[[#This Row],[Lucro/Ação]]&gt;0,Tabela3[[#This Row],[Cotação]]/(Tabela3[[#This Row],[Lucro/Ação]]/[Ref]*4),0)</f>
        <v>6.5210925443657271</v>
      </c>
      <c r="AQ61" s="78">
        <f>[Lucro Distribuir]/[Total Ações]</f>
        <v>3.9348467799571414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3.6420277489421893E-2</v>
      </c>
      <c r="AU61" s="19">
        <f>((1+Tabela3[[#This Row],[% Yield]])^(1/(3*Tabela3[[#This Row],[Ref]])))^(12)-1</f>
        <v>3.642027748942156E-2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t="11.25" customHeight="1">
      <c r="A62" s="3" t="s">
        <v>774</v>
      </c>
      <c r="B62" s="58" t="s">
        <v>775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2" s="18">
        <f>IF(Tabela3[[#This Row],[Lucro Líquido]]&gt;0,Tabela3[[#This Row],[Lucro Líquido]]/Tabela3[[#This Row],[Patrimônio Líquido]],0)/Tabela3[[#This Row],[Ref]]*4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2.312588816579864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t="11.25" customHeight="1">
      <c r="A63" s="3" t="s">
        <v>774</v>
      </c>
      <c r="B63" s="58" t="s">
        <v>776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338444320.88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3" s="18">
        <f>IF(Tabela3[[#This Row],[Lucro Líquido]]&gt;0,Tabela3[[#This Row],[Lucro Líquido]]/Tabela3[[#This Row],[Patrimônio Líquido]],0)/Tabela3[[#This Row],[Ref]]*4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2.312588816579864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6.26</v>
      </c>
      <c r="AO63" s="53">
        <f>[Cotação]/[VPA]</f>
        <v>-9.1397332130704836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100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6.26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t="11.25" customHeight="1">
      <c r="A64" s="3" t="s">
        <v>792</v>
      </c>
      <c r="B64" s="58" t="s">
        <v>794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1202442925.1100001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4" s="18">
        <f>IF(Tabela3[[#This Row],[Lucro Líquido]]&gt;0,Tabela3[[#This Row],[Lucro Líquido]]/Tabela3[[#This Row],[Patrimônio Líquido]],0)/Tabela3[[#This Row],[Ref]]*4</f>
        <v>3.0860194329574268E-2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2.312588816579864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4.6900000000000004</v>
      </c>
      <c r="AO64" s="53">
        <f>[Cotação]/[VPA]</f>
        <v>0.75489507565945801</v>
      </c>
      <c r="AP64" s="37">
        <f>IF(Tabela3[[#This Row],[Lucro/Ação]]&gt;0,Tabela3[[#This Row],[Cotação]]/(Tabela3[[#This Row],[Lucro/Ação]]/[Ref]*4),0)</f>
        <v>24.461773234396617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7.2817697348911622E-3</v>
      </c>
      <c r="AU64" s="22">
        <f>((1+Tabela3[[#This Row],[% Yield]])^(1/(3*Tabela3[[#This Row],[Ref]])))^(12)-1</f>
        <v>9.7207904526603883E-3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3.4151500056639557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4.6900000000000004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t="11.25" customHeight="1">
      <c r="A65" s="4" t="s">
        <v>14</v>
      </c>
      <c r="B65" s="57" t="s">
        <v>546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5" s="19">
        <f>IF(Tabela3[[#This Row],[Lucro Líquido]]&gt;0,Tabela3[[#This Row],[Lucro Líquido]]/Tabela3[[#This Row],[Patrimônio Líquido]],0)/Tabela3[[#This Row],[Ref]]*4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2.312588816579864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A.A.]&gt;=5%,SUMPRODUCT(N([Nome]=Tabela3[[#This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t="11.25" customHeight="1">
      <c r="A66" s="4" t="s">
        <v>14</v>
      </c>
      <c r="B66" s="57" t="s">
        <v>547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6" s="19">
        <f>IF(Tabela3[[#This Row],[Lucro Líquido]]&gt;0,Tabela3[[#This Row],[Lucro Líquido]]/Tabela3[[#This Row],[Patrimônio Líquido]],0)/Tabela3[[#This Row],[Ref]]*4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2.312588816579864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t="11.25" customHeight="1">
      <c r="A67" s="3" t="s">
        <v>289</v>
      </c>
      <c r="B67" s="58" t="s">
        <v>287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5739577256.9000006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7" s="18">
        <f>IF(Tabela3[[#This Row],[Lucro Líquido]]&gt;0,Tabela3[[#This Row],[Lucro Líquido]]/Tabela3[[#This Row],[Patrimônio Líquido]],0)/Tabela3[[#This Row],[Ref]]*4</f>
        <v>0.11333698992695519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2.312588816579864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16.420000000000002</v>
      </c>
      <c r="AO67" s="53">
        <f>[Cotação]/[VPA]</f>
        <v>0.57217288957824974</v>
      </c>
      <c r="AP67" s="37">
        <f>IF(Tabela3[[#This Row],[Lucro/Ação]]&gt;0,Tabela3[[#This Row],[Cotação]]/(Tabela3[[#This Row],[Lucro/Ação]]/[Ref]*4),0)</f>
        <v>5.0484214372290159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A.A.]&gt;=5%,SUMPRODUCT(N([Nome]=Tabela3[[#This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3.4185508491660813E-2</v>
      </c>
      <c r="AU67" s="18">
        <f>((1+Tabela3[[#This Row],[% Yield]])^(1/(3*Tabela3[[#This Row],[Ref]])))^(12)-1</f>
        <v>4.5838432482410374E-2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16.420000000000002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t="11.25" customHeight="1">
      <c r="A68" s="3" t="s">
        <v>289</v>
      </c>
      <c r="B68" s="60" t="s">
        <v>288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6760257256.3000002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8" s="18">
        <f>IF(Tabela3[[#This Row],[Lucro Líquido]]&gt;0,Tabela3[[#This Row],[Lucro Líquido]]/Tabela3[[#This Row],[Patrimônio Líquido]],0)/Tabela3[[#This Row],[Ref]]*4</f>
        <v>0.11333698992695519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2.312588816579864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19.34</v>
      </c>
      <c r="AO68" s="53">
        <f>[Cotação]/[VPA]</f>
        <v>0.67392348869935126</v>
      </c>
      <c r="AP68" s="37">
        <f>IF(Tabela3[[#This Row],[Lucro/Ação]]&gt;0,Tabela3[[#This Row],[Cotação]]/(Tabela3[[#This Row],[Lucro/Ação]]/[Ref]*4),0)</f>
        <v>5.9461918755182195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3.1926507508905452E-2</v>
      </c>
      <c r="AU68" s="18">
        <f>((1+Tabela3[[#This Row],[% Yield]])^(1/(3*Tabela3[[#This Row],[Ref]])))^(12)-1</f>
        <v>4.2793602179520551E-2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19.34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t="11.25" customHeight="1">
      <c r="A69" s="3" t="s">
        <v>270</v>
      </c>
      <c r="B69" s="58" t="s">
        <v>269</v>
      </c>
      <c r="C69" s="83" t="str">
        <f>LEFT([PAPEL],LEN([PAPEL])-(LEN([PAPEL])-4))</f>
        <v>BRFS</v>
      </c>
      <c r="D69" s="16">
        <v>4</v>
      </c>
      <c r="E69" s="5">
        <v>12460471000</v>
      </c>
      <c r="F69" s="56">
        <v>872473246</v>
      </c>
      <c r="G69" s="81">
        <v>0.25</v>
      </c>
      <c r="H69" s="16"/>
      <c r="J69" s="18"/>
      <c r="K69" s="87"/>
      <c r="L69" s="87"/>
      <c r="M69" s="54">
        <v>31652197000</v>
      </c>
      <c r="N69" s="54">
        <v>10570290000</v>
      </c>
      <c r="O69" s="54">
        <v>9395238000</v>
      </c>
      <c r="P69" s="5">
        <v>14655071000</v>
      </c>
      <c r="Q69" s="5">
        <v>1062430000</v>
      </c>
      <c r="R69" s="5">
        <f>IF(Tabela3[[#This Row],[Ativo || Passivo]]&gt;0,Tabela3[[#This Row],[Ativo || Passivo]]-Tabela3[[#This Row],[Patrimônio Líquido]],0)</f>
        <v>16997126000</v>
      </c>
      <c r="S69" s="5">
        <f>Tabela3[[#This Row],[Cotação]]*Tabela3[[#This Row],[Total Ações]]</f>
        <v>38345199161.700005</v>
      </c>
      <c r="T69" s="130">
        <f>IF(Tabela3[[#This Row],[Passivo Circulante]]&gt;0,Tabela3[[#This Row],[Ativo Circulante]]/Tabela3[[#This Row],[Passivo Circulante]],0)</f>
        <v>1.1250688912830096</v>
      </c>
      <c r="U69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9" s="18">
        <f>IF(Tabela3[[#This Row],[Lucro Líquido]]&gt;0,Tabela3[[#This Row],[Lucro Líquido]]/Tabela3[[#This Row],[Patrimônio Líquido]],0)/Tabela3[[#This Row],[Ref]]*4</f>
        <v>7.2495725199830149E-2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69" s="18">
        <f>IF(Tabela3[[#This Row],[Dívida]]&gt;0,Tabela3[[#This Row],[Dívida]]/Tabela3[[#This Row],[Patrimônio Líquido]],0)</f>
        <v>1.159811917663176</v>
      </c>
      <c r="Y69" s="18">
        <f>SUMPRODUCT(N([Dívida / PL]&gt;0),N(RIGHT([PAPEL],LEN([PAPEL])-(LEN([PAPEL])-1))="3"),[Dívida / PL])/SUMPRODUCT(N([Dívida / PL]&gt;0),N(RIGHT([PAPEL],LEN([PAPEL])-(LEN([PAPEL])-1))="3"))</f>
        <v>2.312588816579864</v>
      </c>
      <c r="Z69" s="5">
        <f>Tabela3[[#This Row],[Capital Social]]*20%</f>
        <v>2492094200</v>
      </c>
      <c r="AA69" s="5">
        <f>IF(([Lucro Líquido]*5%)&gt;[Teto R. Legal],[Teto R. Legal],[Lucro Líquido]*5%)</f>
        <v>53121500</v>
      </c>
      <c r="AB69" s="5">
        <f>IF([Lucro Líquido]&lt;0,0,[Lucro Líquido]-[Reserva Legal])</f>
        <v>1009308500</v>
      </c>
      <c r="AC69" s="5">
        <f>Tabela3[[#This Row],[Lucro Distribuir]]*[%Div]</f>
        <v>252327125</v>
      </c>
      <c r="AD69" s="21">
        <f>SUMPRODUCT(N([Nome]=Tabela3[[#This Row],[Nome]]),[Ações])</f>
        <v>872473246</v>
      </c>
      <c r="AE69" s="5">
        <f>[Capital Social]/[Total Ações]</f>
        <v>14.28178005128194</v>
      </c>
      <c r="AF69" s="77">
        <f>Tabela3[[#This Row],[Lucro Líquido]]/Tabela3[[#This Row],[Total Ações]]</f>
        <v>1.2177221535111691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69" s="5">
        <f>[Div Base]*[Ações]</f>
        <v>252327125</v>
      </c>
      <c r="AL69" s="5">
        <f>SUMPRODUCT(N([Nome]=Tabela3[[#This Row],[Nome]]),[Div Base]*[Ações])</f>
        <v>252327125</v>
      </c>
      <c r="AM69" s="5">
        <f>[Patrimônio Líquido]/[Total Ações]</f>
        <v>16.797158041451279</v>
      </c>
      <c r="AN69" s="52">
        <f>MAX(Tabela3[[#This Row],[Cotação 1]:[Cotação 5]])</f>
        <v>43.95</v>
      </c>
      <c r="AO69" s="53">
        <f>[Cotação]/[VPA]</f>
        <v>2.6165140490755725</v>
      </c>
      <c r="AP69" s="37">
        <f>IF(Tabela3[[#This Row],[Lucro/Ação]]&gt;0,Tabela3[[#This Row],[Cotação]]/(Tabela3[[#This Row],[Lucro/Ação]]/[Ref]*4),0)</f>
        <v>36.091977035381156</v>
      </c>
      <c r="AQ69" s="77">
        <f>[Lucro Distribuir]/[Total Ações]</f>
        <v>1.1568360458356106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6.5804098170398782E-3</v>
      </c>
      <c r="AU69" s="18">
        <f>((1+Tabela3[[#This Row],[% Yield]])^(1/(3*Tabela3[[#This Row],[Ref]])))^(12)-1</f>
        <v>6.5804098170396674E-3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43.95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>
      <c r="A70" s="4" t="s">
        <v>14</v>
      </c>
      <c r="B70" s="57" t="s">
        <v>216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0" s="18">
        <f>IF(Tabela3[[#This Row],[Lucro Líquido]]&gt;0,Tabela3[[#This Row],[Lucro Líquido]]/Tabela3[[#This Row],[Patrimônio Líquido]],0)/Tabela3[[#This Row],[Ref]]*4</f>
        <v>5.451411972107769E-2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2.312588816579864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200</v>
      </c>
      <c r="AW70" s="7">
        <f>Tabela3[[#This Row],[Ativos]]*[Lucro]</f>
        <v>49.432244253445255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t="11.25" customHeight="1">
      <c r="A71" s="4" t="s">
        <v>14</v>
      </c>
      <c r="B71" s="57" t="s">
        <v>217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1" s="18">
        <f>IF(Tabela3[[#This Row],[Lucro Líquido]]&gt;0,Tabela3[[#This Row],[Lucro Líquido]]/Tabela3[[#This Row],[Patrimônio Líquido]],0)/Tabela3[[#This Row],[Ref]]*4</f>
        <v>5.451411972107769E-2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2.312588816579864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200</v>
      </c>
      <c r="AW71" s="17">
        <f>Tabela3[[#This Row],[Ativos]]*[Lucro]</f>
        <v>15.617182507525609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t="11.25" customHeight="1">
      <c r="A72" s="4" t="s">
        <v>14</v>
      </c>
      <c r="B72" s="57" t="s">
        <v>212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2" s="18">
        <f>IF(Tabela3[[#This Row],[Lucro Líquido]]&gt;0,Tabela3[[#This Row],[Lucro Líquido]]/Tabela3[[#This Row],[Patrimônio Líquido]],0)/Tabela3[[#This Row],[Ref]]*4</f>
        <v>5.451411972107769E-2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2.312588816579864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A.A.]&gt;=5%,SUMPRODUCT(N([Nome]=Tabela3[[#This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200</v>
      </c>
      <c r="AW72" s="7">
        <f>Tabela3[[#This Row],[Ativos]]*[Lucro]</f>
        <v>15.617182507525609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>
      <c r="A73" s="4" t="s">
        <v>14</v>
      </c>
      <c r="B73" s="57" t="s">
        <v>213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3" s="18">
        <f>IF(Tabela3[[#This Row],[Lucro Líquido]]&gt;0,Tabela3[[#This Row],[Lucro Líquido]]/Tabela3[[#This Row],[Patrimônio Líquido]],0)/Tabela3[[#This Row],[Ref]]*4</f>
        <v>5.451411972107769E-2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2.312588816579864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200</v>
      </c>
      <c r="AW73" s="7">
        <f>Tabela3[[#This Row],[Ativos]]*[Lucro]</f>
        <v>41.193536877871054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4" s="18">
        <f>IF(Tabela3[[#This Row],[Lucro Líquido]]&gt;0,Tabela3[[#This Row],[Lucro Líquido]]/Tabela3[[#This Row],[Patrimônio Líquido]],0)/Tabela3[[#This Row],[Ref]]*4</f>
        <v>5.451411972107769E-2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2.312588816579864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100</v>
      </c>
      <c r="AW74" s="7">
        <f>Tabela3[[#This Row],[Ativos]]*[Lucro]</f>
        <v>49.432244253445255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>
      <c r="A75" s="4" t="s">
        <v>14</v>
      </c>
      <c r="B75" s="57" t="s">
        <v>214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5" s="19">
        <f>IF(Tabela3[[#This Row],[Lucro Líquido]]&gt;0,Tabela3[[#This Row],[Lucro Líquido]]/Tabela3[[#This Row],[Patrimônio Líquido]],0)/Tabela3[[#This Row],[Ref]]*4</f>
        <v>5.451411972107769E-2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2.312588816579864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200</v>
      </c>
      <c r="AW75" s="7">
        <f>Tabela3[[#This Row],[Ativos]]*[Lucro]</f>
        <v>57.67095162901947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>
      <c r="A76" s="4" t="s">
        <v>14</v>
      </c>
      <c r="B76" s="57" t="s">
        <v>215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6" s="18">
        <f>IF(Tabela3[[#This Row],[Lucro Líquido]]&gt;0,Tabela3[[#This Row],[Lucro Líquido]]/Tabela3[[#This Row],[Patrimônio Líquido]],0)/Tabela3[[#This Row],[Ref]]*4</f>
        <v>5.451411972107769E-2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2.312588816579864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200</v>
      </c>
      <c r="AW76" s="7">
        <f>Tabela3[[#This Row],[Ativos]]*[Lucro]</f>
        <v>41.193536877871054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t="11.25" customHeight="1">
      <c r="A77" s="4" t="s">
        <v>360</v>
      </c>
      <c r="B77" s="57" t="s">
        <v>359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1529463858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7" s="19">
        <f>IF(Tabela3[[#This Row],[Lucro Líquido]]&gt;0,Tabela3[[#This Row],[Lucro Líquido]]/Tabela3[[#This Row],[Patrimônio Líquido]],0)/Tabela3[[#This Row],[Ref]]*4</f>
        <v>0.23667480480553071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2.312588816579864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15.6</v>
      </c>
      <c r="AO77" s="44">
        <f>[Cotação]/[VPA]</f>
        <v>3.0809379366192071</v>
      </c>
      <c r="AP77" s="40">
        <f>IF(Tabela3[[#This Row],[Lucro/Ação]]&gt;0,Tabela3[[#This Row],[Cotação]]/(Tabela3[[#This Row],[Lucro/Ação]]/[Ref]*4),0)</f>
        <v>13.017599989786538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1.3683397872092771E-2</v>
      </c>
      <c r="AU77" s="19">
        <f>((1+Tabela3[[#This Row],[% Yield]])^(1/(3*Tabela3[[#This Row],[Ref]])))^(12)-1</f>
        <v>1.8286012554552089E-2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15.6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t="11.25" customHeight="1">
      <c r="A78" s="4" t="s">
        <v>14</v>
      </c>
      <c r="B78" s="57" t="s">
        <v>191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597286137.03999996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8" s="19">
        <f>IF(Tabela3[[#This Row],[Lucro Líquido]]&gt;0,Tabela3[[#This Row],[Lucro Líquido]]/Tabela3[[#This Row],[Patrimônio Líquido]],0)/Tabela3[[#This Row],[Ref]]*4</f>
        <v>5.2863675173455221E-2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2.312588816579864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6.62</v>
      </c>
      <c r="AO78" s="44">
        <f>[Cotação]/[VPA]</f>
        <v>0.50642747696943646</v>
      </c>
      <c r="AP78" s="40">
        <f>IF(Tabela3[[#This Row],[Lucro/Ação]]&gt;0,Tabela3[[#This Row],[Cotação]]/(Tabela3[[#This Row],[Lucro/Ação]]/[Ref]*4),0)</f>
        <v>9.5798764521716837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100</v>
      </c>
      <c r="AW78" s="17">
        <f>Tabela3[[#This Row],[Ativos]]*[Lucro]</f>
        <v>0</v>
      </c>
      <c r="AX78" s="5">
        <f>SUMPRODUCT(N(Tabela1[Código]=Tabela3[[#This Row],[PAPEL]]),Tabela1[Fechamento])</f>
        <v>6.62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>
      <c r="A79" s="4" t="s">
        <v>14</v>
      </c>
      <c r="B79" s="57" t="s">
        <v>192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516986339.16000003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9" s="19">
        <f>IF(Tabela3[[#This Row],[Lucro Líquido]]&gt;0,Tabela3[[#This Row],[Lucro Líquido]]/Tabela3[[#This Row],[Patrimônio Líquido]],0)/Tabela3[[#This Row],[Ref]]*4</f>
        <v>5.2863675173455221E-2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2.312588816579864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5.73</v>
      </c>
      <c r="AO79" s="44">
        <f>[Cotação]/[VPA]</f>
        <v>0.43834281616840953</v>
      </c>
      <c r="AP79" s="40">
        <f>IF(Tabela3[[#This Row],[Lucro/Ação]]&gt;0,Tabela3[[#This Row],[Cotação]]/(Tabela3[[#This Row],[Lucro/Ação]]/[Ref]*4),0)</f>
        <v>8.2919474427407476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6.0813986015730598E-2</v>
      </c>
      <c r="AU79" s="19">
        <f>((1+Tabela3[[#This Row],[% Yield]])^(1/(3*Tabela3[[#This Row],[Ref]])))^(12)-1</f>
        <v>8.1896334143816141E-2</v>
      </c>
      <c r="AV79" s="14">
        <f>IF([Cotação]&gt;0,($BH$1/Tabela3[[#This Row],[Cotação]]-MOD($BH$1/Tabela3[[#This Row],[Cotação]],100)),)</f>
        <v>100</v>
      </c>
      <c r="AW79" s="17">
        <f>Tabela3[[#This Row],[Ativos]]*[Lucro]</f>
        <v>34.846413987013634</v>
      </c>
      <c r="AX79" s="5">
        <f>SUMPRODUCT(N(Tabela1[Código]=Tabela3[[#This Row],[PAPEL]]),Tabela1[Fechamento])</f>
        <v>5.73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t="11.25" customHeight="1">
      <c r="A80" s="4" t="s">
        <v>40</v>
      </c>
      <c r="B80" s="57" t="s">
        <v>254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9615020096.8800011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0" s="19">
        <f>IF(Tabela3[[#This Row],[Lucro Líquido]]&gt;0,Tabela3[[#This Row],[Lucro Líquido]]/Tabela3[[#This Row],[Patrimônio Líquido]],0)/Tabela3[[#This Row],[Ref]]*4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2.312588816579864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12.06</v>
      </c>
      <c r="AO80" s="53">
        <f>[Cotação]/[VPA]</f>
        <v>1.266282208064943</v>
      </c>
      <c r="AP80" s="37">
        <f>IF(Tabela3[[#This Row],[Lucro/Ação]]&gt;0,Tabela3[[#This Row],[Cotação]]/(Tabela3[[#This Row],[Lucro/Ação]]/[Ref]*4),0)</f>
        <v>18.864188129182633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A.A.]&gt;=5%,SUMPRODUCT(N([Nome]=Tabela3[[#This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12.06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t="11.25" customHeight="1">
      <c r="A81" s="4" t="s">
        <v>40</v>
      </c>
      <c r="B81" s="57" t="s">
        <v>255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12110460636.119999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1" s="19">
        <f>IF(Tabela3[[#This Row],[Lucro Líquido]]&gt;0,Tabela3[[#This Row],[Lucro Líquido]]/Tabela3[[#This Row],[Patrimônio Líquido]],0)/Tabela3[[#This Row],[Ref]]*4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2.312588816579864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15.19</v>
      </c>
      <c r="AO81" s="53">
        <f>[Cotação]/[VPA]</f>
        <v>1.5949275904234232</v>
      </c>
      <c r="AP81" s="37">
        <f>IF(Tabela3[[#This Row],[Lucro/Ação]]&gt;0,Tabela3[[#This Row],[Cotação]]/(Tabela3[[#This Row],[Lucro/Ação]]/[Ref]*4),0)</f>
        <v>23.760117552428209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3.9849295524783217E-2</v>
      </c>
      <c r="AU81" s="18">
        <f>((1+Tabela3[[#This Row],[% Yield]])^(1/(3*Tabela3[[#This Row],[Ref]])))^(12)-1</f>
        <v>3.9849295524782669E-2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15.19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>
      <c r="A82" s="4" t="s">
        <v>40</v>
      </c>
      <c r="B82" s="57" t="s">
        <v>256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2" s="19">
        <f>IF(Tabela3[[#This Row],[Lucro Líquido]]&gt;0,Tabela3[[#This Row],[Lucro Líquido]]/Tabela3[[#This Row],[Patrimônio Líquido]],0)/Tabela3[[#This Row],[Ref]]*4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2.312588816579864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t="11.25" customHeight="1">
      <c r="A83" s="3" t="s">
        <v>336</v>
      </c>
      <c r="B83" s="58" t="s">
        <v>339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8360834868.2999992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3" s="18">
        <f>IF(Tabela3[[#This Row],[Lucro Líquido]]&gt;0,Tabela3[[#This Row],[Lucro Líquido]]/Tabela3[[#This Row],[Patrimônio Líquido]],0)/Tabela3[[#This Row],[Ref]]*4</f>
        <v>5.2042377271101802E-2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2.312588816579864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18.22</v>
      </c>
      <c r="AO83" s="53">
        <f>[Cotação]/[VPA]</f>
        <v>0.97453396847720719</v>
      </c>
      <c r="AP83" s="37">
        <f>IF(Tabela3[[#This Row],[Lucro/Ação]]&gt;0,Tabela3[[#This Row],[Cotação]]/(Tabela3[[#This Row],[Lucro/Ação]]/[Ref]*4),0)</f>
        <v>18.725777329513896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A.A.]&gt;=5%,SUMPRODUCT(N([Nome]=Tabela3[[#This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9.5122886951803775E-3</v>
      </c>
      <c r="AU83" s="18">
        <f>((1+Tabela3[[#This Row],[% Yield]])^(1/(3*Tabela3[[#This Row],[Ref]])))^(12)-1</f>
        <v>1.2703116731879405E-2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18.22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t="11.25" customHeight="1">
      <c r="A84" s="3" t="s">
        <v>336</v>
      </c>
      <c r="B84" s="58" t="s">
        <v>341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5144728747.8600006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4" s="18">
        <f>IF(Tabela3[[#This Row],[Lucro Líquido]]&gt;0,Tabela3[[#This Row],[Lucro Líquido]]/Tabela3[[#This Row],[Patrimônio Líquido]],0)/Tabela3[[#This Row],[Ref]]*4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2.312588816579864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16.510000000000002</v>
      </c>
      <c r="AO84" s="53">
        <f>[Cotação]/[VPA]</f>
        <v>0.67247479561766443</v>
      </c>
      <c r="AP84" s="37">
        <f>IF(Tabela3[[#This Row],[Lucro/Ação]]&gt;0,Tabela3[[#This Row],[Cotação]]/(Tabela3[[#This Row],[Lucro/Ação]]/[Ref]*4),0)</f>
        <v>63.38839294078511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3.7467427234172505E-3</v>
      </c>
      <c r="AU84" s="18">
        <f>((1+Tabela3[[#This Row],[% Yield]])^(1/(3*Tabela3[[#This Row],[Ref]])))^(12)-1</f>
        <v>3.746742723416574E-3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16.510000000000002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t="11.25" customHeight="1">
      <c r="A85" s="4" t="s">
        <v>14</v>
      </c>
      <c r="B85" s="57" t="s">
        <v>199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>
        <v>53121798000</v>
      </c>
      <c r="N85" s="55">
        <v>23199775000</v>
      </c>
      <c r="O85" s="55">
        <v>26460393000</v>
      </c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47973936000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0.87677363673321107</v>
      </c>
      <c r="U8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5" s="19">
        <f>IF(Tabela3[[#This Row],[Lucro Líquido]]&gt;0,Tabela3[[#This Row],[Lucro Líquido]]/Tabela3[[#This Row],[Patrimônio Líquido]],0)/Tabela3[[#This Row],[Ref]]*4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5" s="19">
        <f>IF(Tabela3[[#This Row],[Dívida]]&gt;0,Tabela3[[#This Row],[Dívida]]/Tabela3[[#This Row],[Patrimônio Líquido]],0)</f>
        <v>9.3191962022291968</v>
      </c>
      <c r="Y85" s="19">
        <f>SUMPRODUCT(N([Dívida / PL]&gt;0),N(RIGHT([PAPEL],LEN([PAPEL])-(LEN([PAPEL])-1))="3"),[Dívida / PL])/SUMPRODUCT(N([Dívida / PL]&gt;0),N(RIGHT([PAPEL],LEN([PAPEL])-(LEN([PAPEL])-1))="3"))</f>
        <v>2.312588816579864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t="11.25" customHeight="1">
      <c r="A86" s="4" t="s">
        <v>14</v>
      </c>
      <c r="B86" s="57" t="s">
        <v>200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3542377</v>
      </c>
      <c r="G86" s="86">
        <v>0.25</v>
      </c>
      <c r="H86" s="15"/>
      <c r="I86" s="19">
        <v>0.06</v>
      </c>
      <c r="J86" s="19"/>
      <c r="K86" s="88"/>
      <c r="L86" s="88"/>
      <c r="M86" s="55">
        <v>53121798000</v>
      </c>
      <c r="N86" s="55">
        <v>23199775000</v>
      </c>
      <c r="O86" s="55">
        <v>26460393000</v>
      </c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47973936000</v>
      </c>
      <c r="S86" s="6">
        <f>Tabela3[[#This Row],[Cotação]]*Tabela3[[#This Row],[Total Ações]]</f>
        <v>4744103933.1999998</v>
      </c>
      <c r="T86" s="132">
        <f>IF(Tabela3[[#This Row],[Passivo Circulante]]&gt;0,Tabela3[[#This Row],[Ativo Circulante]]/Tabela3[[#This Row],[Passivo Circulante]],0)</f>
        <v>0.87677363673321107</v>
      </c>
      <c r="U8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6" s="19">
        <f>IF(Tabela3[[#This Row],[Lucro Líquido]]&gt;0,Tabela3[[#This Row],[Lucro Líquido]]/Tabela3[[#This Row],[Patrimônio Líquido]],0)/Tabela3[[#This Row],[Ref]]*4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6" s="19">
        <f>IF(Tabela3[[#This Row],[Dívida]]&gt;0,Tabela3[[#This Row],[Dívida]]/Tabela3[[#This Row],[Patrimônio Líquido]],0)</f>
        <v>9.3191962022291968</v>
      </c>
      <c r="Y86" s="19">
        <f>SUMPRODUCT(N([Dívida / PL]&gt;0),N(RIGHT([PAPEL],LEN([PAPEL])-(LEN([PAPEL])-1))="3"),[Dívida / PL])/SUMPRODUCT(N([Dívida / PL]&gt;0),N(RIGHT([PAPEL],LEN([PAPEL])-(LEN([PAPEL])-1))="3"))</f>
        <v>2.312588816579864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8">
        <f>Tabela3[[#This Row],[Lucro Líquido]]/Tabela3[[#This Row],[Total Ações]]</f>
        <v>1.9356073410908721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6" s="6">
        <f>[Div Base]*[Ações]</f>
        <v>1948862.019083895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11.6</v>
      </c>
      <c r="AO86" s="44">
        <f>[Cotação]/[VPA]</f>
        <v>0.92156781459953663</v>
      </c>
      <c r="AP86" s="40">
        <f>IF(Tabela3[[#This Row],[Lucro/Ação]]&gt;0,Tabela3[[#This Row],[Cotação]]/(Tabela3[[#This Row],[Lucro/Ação]]/[Ref]*4),0)</f>
        <v>5.9929510256261258</v>
      </c>
      <c r="AQ86" s="78">
        <f>[Lucro Distribuir]/[Total Ações]</f>
        <v>1.8388269740363283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6" s="15" t="str">
        <f>IF(AND([% A.A.]&gt;=5%,SUMPRODUCT(N([Nome]=Tabela3[[#This Row],[Nome]]),[PL])&gt;0,[Rentabilidade s/ PL]&gt;=[Rentabilidade s/ PL Média]),"Sim","Não")</f>
        <v>Não</v>
      </c>
      <c r="AT86" s="42">
        <f>IF([Cotação]&gt;0,Tabela3[[#This Row],[Lucro]]/Tabela3[[#This Row],[Cotação]],0)</f>
        <v>4.7427291469188511E-2</v>
      </c>
      <c r="AU86" s="19">
        <f>((1+Tabela3[[#This Row],[% Yield]])^(1/(3*Tabela3[[#This Row],[Ref]])))^(12)-1</f>
        <v>4.7427291469188448E-2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11.6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t="11.25" customHeight="1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>
        <v>53121798000</v>
      </c>
      <c r="N87" s="55">
        <v>23199775000</v>
      </c>
      <c r="O87" s="55">
        <v>26460393000</v>
      </c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47973936000</v>
      </c>
      <c r="S87" s="6">
        <f>Tabela3[[#This Row],[Cotação]]*Tabela3[[#This Row],[Total Ações]]</f>
        <v>4924052703.0799999</v>
      </c>
      <c r="T87" s="132">
        <f>IF(Tabela3[[#This Row],[Passivo Circulante]]&gt;0,Tabela3[[#This Row],[Ativo Circulante]]/Tabela3[[#This Row],[Passivo Circulante]],0)</f>
        <v>0.87677363673321107</v>
      </c>
      <c r="U8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7" s="19">
        <f>IF(Tabela3[[#This Row],[Lucro Líquido]]&gt;0,Tabela3[[#This Row],[Lucro Líquido]]/Tabela3[[#This Row],[Patrimônio Líquido]],0)/Tabela3[[#This Row],[Ref]]*4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7" s="19">
        <f>IF(Tabela3[[#This Row],[Dívida]]&gt;0,Tabela3[[#This Row],[Dívida]]/Tabela3[[#This Row],[Patrimônio Líquido]],0)</f>
        <v>9.3191962022291968</v>
      </c>
      <c r="Y87" s="19">
        <f>SUMPRODUCT(N([Dívida / PL]&gt;0),N(RIGHT([PAPEL],LEN([PAPEL])-(LEN([PAPEL])-1))="3"),[Dívida / PL])/SUMPRODUCT(N([Dívida / PL]&gt;0),N(RIGHT([PAPEL],LEN([PAPEL])-(LEN([PAPEL])-1))="3"))</f>
        <v>2.312588816579864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12.04</v>
      </c>
      <c r="AO87" s="44">
        <f>[Cotação]/[VPA]</f>
        <v>0.95652383515331207</v>
      </c>
      <c r="AP87" s="40">
        <f>IF(Tabela3[[#This Row],[Lucro/Ação]]&gt;0,Tabela3[[#This Row],[Cotação]]/(Tabela3[[#This Row],[Lucro/Ação]]/[Ref]*4),0)</f>
        <v>6.2202698576326334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3.8115984820094609E-2</v>
      </c>
      <c r="AU87" s="19">
        <f>((1+Tabela3[[#This Row],[% Yield]])^(1/(3*Tabela3[[#This Row],[Ref]])))^(12)-1</f>
        <v>3.8115984820095372E-2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12.04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t="11.25" customHeight="1">
      <c r="A88" s="3" t="s">
        <v>260</v>
      </c>
      <c r="B88" s="58" t="s">
        <v>839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1884044684.4299998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8" s="18">
        <f>IF(Tabela3[[#This Row],[Lucro Líquido]]&gt;0,Tabela3[[#This Row],[Lucro Líquido]]/Tabela3[[#This Row],[Patrimônio Líquido]],0)/Tabela3[[#This Row],[Ref]]*4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2.312588816579864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9.11</v>
      </c>
      <c r="AO88" s="53">
        <f>[Cotação]/[VPA]</f>
        <v>0.7544822085901608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9.11</v>
      </c>
      <c r="BB88" s="7">
        <f>SUMPRODUCT(N(Tabela17683[Código]=Tabela3[[#This Row],[PAPEL]]),Tabela17683[Fechamento])</f>
        <v>0</v>
      </c>
    </row>
    <row r="89" spans="1:54" ht="11.25" customHeight="1">
      <c r="A89" s="4" t="s">
        <v>14</v>
      </c>
      <c r="B89" s="57" t="s">
        <v>210</v>
      </c>
      <c r="C89" s="15" t="str">
        <f>LEFT([PAPEL],LEN([PAPEL])-(LEN([PAPEL])-4))</f>
        <v>BSLI</v>
      </c>
      <c r="D89" s="16">
        <v>4</v>
      </c>
      <c r="E89" s="5">
        <v>860500000</v>
      </c>
      <c r="F89" s="56">
        <v>28014650</v>
      </c>
      <c r="G89" s="86">
        <v>0.25</v>
      </c>
      <c r="H89" s="16"/>
      <c r="J89" s="18"/>
      <c r="K89" s="87"/>
      <c r="L89" s="87"/>
      <c r="M89" s="54">
        <v>10946423000</v>
      </c>
      <c r="N89" s="54">
        <v>5144506000</v>
      </c>
      <c r="O89" s="54">
        <v>6669209000</v>
      </c>
      <c r="P89" s="5">
        <v>1006087000</v>
      </c>
      <c r="Q89" s="6">
        <v>168982000</v>
      </c>
      <c r="R89" s="5">
        <f>IF(Tabela3[[#This Row],[Ativo || Passivo]]&gt;0,Tabela3[[#This Row],[Ativo || Passivo]]-Tabela3[[#This Row],[Patrimônio Líquido]],0)</f>
        <v>9940336000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0.77138173357590079</v>
      </c>
      <c r="U89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9" s="18">
        <f>IF(Tabela3[[#This Row],[Lucro Líquido]]&gt;0,Tabela3[[#This Row],[Lucro Líquido]]/Tabela3[[#This Row],[Patrimônio Líquido]],0)/Tabela3[[#This Row],[Ref]]*4</f>
        <v>0.16795962973381029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89" s="18">
        <f>IF(Tabela3[[#This Row],[Dívida]]&gt;0,Tabela3[[#This Row],[Dívida]]/Tabela3[[#This Row],[Patrimônio Líquido]],0)</f>
        <v>9.8801952515040945</v>
      </c>
      <c r="Y89" s="18">
        <f>SUMPRODUCT(N([Dívida / PL]&gt;0),N(RIGHT([PAPEL],LEN([PAPEL])-(LEN([PAPEL])-1))="3"),[Dívida / PL])/SUMPRODUCT(N([Dívida / PL]&gt;0),N(RIGHT([PAPEL],LEN([PAPEL])-(LEN([PAPEL])-1))="3"))</f>
        <v>2.312588816579864</v>
      </c>
      <c r="Z89" s="5">
        <f>Tabela3[[#This Row],[Capital Social]]*20%</f>
        <v>172100000</v>
      </c>
      <c r="AA89" s="5">
        <f>IF(([Lucro Líquido]*5%)&gt;[Teto R. Legal],[Teto R. Legal],[Lucro Líquido]*5%)</f>
        <v>8449100</v>
      </c>
      <c r="AB89" s="5">
        <f>IF([Lucro Líquido]&lt;0,0,[Lucro Líquido]-[Reserva Legal])</f>
        <v>160532900</v>
      </c>
      <c r="AC89" s="5">
        <f>Tabela3[[#This Row],[Lucro Distribuir]]*[%Div]</f>
        <v>40133225</v>
      </c>
      <c r="AD89" s="21">
        <f>SUMPRODUCT(N([Nome]=Tabela3[[#This Row],[Nome]]),[Ações])</f>
        <v>36304650</v>
      </c>
      <c r="AE89" s="5">
        <f>[Capital Social]/[Total Ações]</f>
        <v>23.702197927813653</v>
      </c>
      <c r="AF89" s="77">
        <f>Tabela3[[#This Row],[Lucro Líquido]]/Tabela3[[#This Row],[Total Ações]]</f>
        <v>4.6545552704681077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89" s="5">
        <f>[Div Base]*[Ações]</f>
        <v>30005424.528313592</v>
      </c>
      <c r="AL89" s="5">
        <f>SUMPRODUCT(N([Nome]=Tabela3[[#This Row],[Nome]]),[Div Base]*[Ações])</f>
        <v>39772438.096161902</v>
      </c>
      <c r="AM89" s="5">
        <f>[Patrimônio Líquido]/[Total Ações]</f>
        <v>27.712345388262936</v>
      </c>
      <c r="AN89" s="52">
        <f>MAX(Tabela3[[#This Row],[Cotação 1]:[Cotação 5]])</f>
        <v>26.75</v>
      </c>
      <c r="AO89" s="53">
        <f>[Cotação]/[VPA]</f>
        <v>0.96527376608583548</v>
      </c>
      <c r="AP89" s="37">
        <f>IF(Tabela3[[#This Row],[Lucro/Ação]]&gt;0,Tabela3[[#This Row],[Cotação]]/(Tabela3[[#This Row],[Lucro/Ação]]/[Ref]*4),0)</f>
        <v>5.7470581925885602</v>
      </c>
      <c r="AQ89" s="77">
        <f>[Lucro Distribuir]/[Total Ações]</f>
        <v>4.4218275069447026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89" s="16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4.003969755852687E-2</v>
      </c>
      <c r="AU89" s="18">
        <f>((1+Tabela3[[#This Row],[% Yield]])^(1/(3*Tabela3[[#This Row],[Ref]])))^(12)-1</f>
        <v>4.0039697558527099E-2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 ht="11.25" customHeight="1">
      <c r="A90" s="4" t="s">
        <v>14</v>
      </c>
      <c r="B90" s="57" t="s">
        <v>211</v>
      </c>
      <c r="C90" s="14" t="str">
        <f>LEFT([PAPEL],LEN([PAPEL])-(LEN([PAPEL])-4))</f>
        <v>BSLI</v>
      </c>
      <c r="D90" s="15">
        <v>4</v>
      </c>
      <c r="E90" s="5">
        <v>860500000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0.77138173357590079</v>
      </c>
      <c r="U9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0" s="18">
        <f>IF(Tabela3[[#This Row],[Lucro Líquido]]&gt;0,Tabela3[[#This Row],[Lucro Líquido]]/Tabela3[[#This Row],[Patrimônio Líquido]],0)/Tabela3[[#This Row],[Ref]]*4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2.312588816579864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8">
        <f>Tabela3[[#This Row],[Lucro Líquido]]/Tabela3[[#This Row],[Total Ações]]</f>
        <v>4.6545552704681077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0" s="5">
        <f>[Div Base]*[Ações]</f>
        <v>9767013.5678483117</v>
      </c>
      <c r="AL90" s="5">
        <f>SUMPRODUCT(N([Nome]=Tabela3[[#This Row],[Nome]]),[Div Base]*[Ações])</f>
        <v>39772438.096161902</v>
      </c>
      <c r="AM90" s="6">
        <f>[Patrimônio Líquido]/[Total Ações]</f>
        <v>27.712345388262936</v>
      </c>
      <c r="AN90" s="48">
        <f>MAX(Tabela3[[#This Row],[Cotação 1]:[Cotação 5]])</f>
        <v>28</v>
      </c>
      <c r="AO90" s="44">
        <f>[Cotação]/[VPA]</f>
        <v>1.0103800168375101</v>
      </c>
      <c r="AP90" s="40">
        <f>IF(Tabela3[[#This Row],[Lucro/Ação]]&gt;0,Tabela3[[#This Row],[Cotação]]/(Tabela3[[#This Row],[Lucro/Ação]]/[Ref]*4),0)</f>
        <v>6.0156123137375586</v>
      </c>
      <c r="AQ90" s="78">
        <f>[Lucro Distribuir]/[Total Ações]</f>
        <v>4.4218275069447026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0" s="15" t="str">
        <f>IF(AND([% A.A.]&gt;=5%,SUMPRODUCT(N([Nome]=Tabela3[[#This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4.207743222405786E-2</v>
      </c>
      <c r="AU90" s="19">
        <f>((1+Tabela3[[#This Row],[% Yield]])^(1/(3*Tabela3[[#This Row],[Ref]])))^(12)-1</f>
        <v>4.2077432224058908E-2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t="11.25" customHeight="1">
      <c r="A91" s="3" t="s">
        <v>782</v>
      </c>
      <c r="B91" s="58" t="s">
        <v>787</v>
      </c>
      <c r="C91" s="16" t="str">
        <f>LEFT([PAPEL],LEN([PAPEL])-(LEN([PAPEL])-4))</f>
        <v>BTOW</v>
      </c>
      <c r="D91" s="16">
        <v>3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/>
      <c r="N91" s="54"/>
      <c r="O91" s="54"/>
      <c r="P91" s="91">
        <v>832936000</v>
      </c>
      <c r="Q91" s="73">
        <v>-149050000</v>
      </c>
      <c r="R91" s="73">
        <f>IF(Tabela3[[#This Row],[Ativo || Passivo]]&gt;0,Tabela3[[#This Row],[Ativo || Passivo]]-Tabela3[[#This Row],[Patrimônio Líquido]],0)</f>
        <v>0</v>
      </c>
      <c r="S91" s="73">
        <f>Tabela3[[#This Row],[Cotação]]*Tabela3[[#This Row],[Total Ações]]</f>
        <v>3749201183.1599998</v>
      </c>
      <c r="T91" s="37">
        <f>IF(Tabela3[[#This Row],[Passivo Circulante]]&gt;0,Tabela3[[#This Row],[Ativo Circulante]]/Tabela3[[#This Row],[Passivo Circulante]],0)</f>
        <v>0</v>
      </c>
      <c r="U9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1" s="18">
        <f>IF(Tabela3[[#This Row],[Lucro Líquido]]&gt;0,Tabela3[[#This Row],[Lucro Líquido]]/Tabela3[[#This Row],[Patrimônio Líquido]],0)/Tabela3[[#This Row],[Ref]]*4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1" s="18">
        <f>IF(Tabela3[[#This Row],[Dívida]]&gt;0,Tabela3[[#This Row],[Dívida]]/Tabela3[[#This Row],[Patrimônio Líquido]],0)</f>
        <v>0</v>
      </c>
      <c r="Y91" s="18">
        <f>SUMPRODUCT(N([Dívida / PL]&gt;0),N(RIGHT([PAPEL],LEN([PAPEL])-(LEN([PAPEL])-1))="3"),[Dívida / PL])/SUMPRODUCT(N([Dívida / PL]&gt;0),N(RIGHT([PAPEL],LEN([PAPEL])-(LEN([PAPEL])-1))="3"))</f>
        <v>2.312588816579864</v>
      </c>
      <c r="Z91" s="7">
        <f>Tabela3[[#This Row],[Capital Social]]*20%</f>
        <v>239798347.72800004</v>
      </c>
      <c r="AA91" s="47">
        <f>IF(([Lucro Líquido]*5%)&gt;[Teto R. Legal],[Teto R. Legal],[Lucro Líquido]*5%)</f>
        <v>-7452500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-0.93742608846552578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5.2386174868978275</v>
      </c>
      <c r="AN91" s="52">
        <f>MAX(Tabela3[[#This Row],[Cotação 1]:[Cotação 5]])</f>
        <v>23.58</v>
      </c>
      <c r="AO91" s="53">
        <f>[Cotação]/[VPA]</f>
        <v>4.5011875860330202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A.A.]&gt;=5%,SUMPRODUCT(N([Nome]=Tabela3[[#This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23.58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t="11.25" customHeight="1">
      <c r="A92" s="4" t="s">
        <v>289</v>
      </c>
      <c r="B92" s="57" t="s">
        <v>692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2" s="19">
        <f>IF(Tabela3[[#This Row],[Lucro Líquido]]&gt;0,Tabela3[[#This Row],[Lucro Líquido]]/Tabela3[[#This Row],[Patrimônio Líquido]],0)/Tabela3[[#This Row],[Ref]]*4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2.312588816579864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A.A.]&gt;=5%,SUMPRODUCT(N([Nome]=Tabela3[[#This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1100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t="11.25" customHeight="1">
      <c r="A93" s="4" t="s">
        <v>289</v>
      </c>
      <c r="B93" s="57" t="s">
        <v>693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134709955.20000002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3" s="19">
        <f>IF(Tabela3[[#This Row],[Lucro Líquido]]&gt;0,Tabela3[[#This Row],[Lucro Líquido]]/Tabela3[[#This Row],[Patrimônio Líquido]],0)/Tabela3[[#This Row],[Ref]]*4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2.312588816579864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0.9</v>
      </c>
      <c r="AO93" s="44">
        <f>[Cotação]/[VPA]</f>
        <v>-1.9713459654052157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1000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0.9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t="11.25" customHeight="1">
      <c r="A94" s="4" t="s">
        <v>366</v>
      </c>
      <c r="B94" s="57" t="s">
        <v>365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20453400000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4" s="19">
        <f>IF(Tabela3[[#This Row],[Lucro Líquido]]&gt;0,Tabela3[[#This Row],[Lucro Líquido]]/Tabela3[[#This Row],[Patrimônio Líquido]],0)/Tabela3[[#This Row],[Ref]]*4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2.312588816579864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10.33</v>
      </c>
      <c r="AO94" s="44">
        <f>[Cotação]/[VPA]</f>
        <v>1.0606283507626879</v>
      </c>
      <c r="AP94" s="40">
        <f>IF(Tabela3[[#This Row],[Lucro/Ação]]&gt;0,Tabela3[[#This Row],[Cotação]]/(Tabela3[[#This Row],[Lucro/Ação]]/[Ref]*4),0)</f>
        <v>18.911786788175117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1.255830570956418E-2</v>
      </c>
      <c r="AU94" s="19">
        <f>((1+Tabela3[[#This Row],[% Yield]])^(1/(3*Tabela3[[#This Row],[Ref]])))^(12)-1</f>
        <v>1.2558305709565065E-2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10.33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t="11.25" customHeight="1">
      <c r="A95" s="3" t="s">
        <v>1060</v>
      </c>
      <c r="B95" s="58" t="s">
        <v>1063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5" s="18">
        <f>IF(Tabela3[[#This Row],[Lucro Líquido]]&gt;0,Tabela3[[#This Row],[Lucro Líquido]]/Tabela3[[#This Row],[Patrimônio Líquido]],0)/Tabela3[[#This Row],[Ref]]*4</f>
        <v>2.6104435219576141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2.312588816579864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A.A.]&gt;=5%,SUMPRODUCT(N([Nome]=Tabela3[[#This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 ht="11.25" customHeight="1">
      <c r="A96" s="3" t="s">
        <v>1060</v>
      </c>
      <c r="B96" s="58" t="s">
        <v>1064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6" s="18">
        <f>IF(Tabela3[[#This Row],[Lucro Líquido]]&gt;0,Tabela3[[#This Row],[Lucro Líquido]]/Tabela3[[#This Row],[Patrimônio Líquido]],0)/Tabela3[[#This Row],[Ref]]*4</f>
        <v>2.6104435219576141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2.312588816579864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 ht="11.25" customHeight="1">
      <c r="A97" s="3" t="s">
        <v>994</v>
      </c>
      <c r="B97" s="58" t="s">
        <v>995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7" s="18">
        <f>IF(Tabela3[[#This Row],[Lucro Líquido]]&gt;0,Tabela3[[#This Row],[Lucro Líquido]]/Tabela3[[#This Row],[Patrimônio Líquido]],0)/Tabela3[[#This Row],[Ref]]*4</f>
        <v>5.3256137206924681E-2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2.312588816579864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t="11.25" customHeight="1">
      <c r="A98" s="3" t="s">
        <v>994</v>
      </c>
      <c r="B98" s="58" t="s">
        <v>996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82116290.36999999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8" s="18">
        <f>IF(Tabela3[[#This Row],[Lucro Líquido]]&gt;0,Tabela3[[#This Row],[Lucro Líquido]]/Tabela3[[#This Row],[Patrimônio Líquido]],0)/Tabela3[[#This Row],[Ref]]*4</f>
        <v>5.3256137206924681E-2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2.312588816579864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2.13</v>
      </c>
      <c r="AO98" s="53">
        <f>[Cotação]/[VPA]</f>
        <v>2.8299372908984388</v>
      </c>
      <c r="AP98" s="37">
        <f>IF(Tabela3[[#This Row],[Lucro/Ação]]&gt;0,Tabela3[[#This Row],[Cotação]]/(Tabela3[[#This Row],[Lucro/Ação]]/[Ref]*4),0)</f>
        <v>53.138237944348575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3.3521058825200316E-3</v>
      </c>
      <c r="AU98" s="22">
        <f>((1+Tabela3[[#This Row],[% Yield]])^(1/(3*Tabela3[[#This Row],[Ref]])))^(12)-1</f>
        <v>4.4719696778545703E-3</v>
      </c>
      <c r="AV98" s="10">
        <f>IF([Cotação]&gt;0,($BH$1/Tabela3[[#This Row],[Cotação]]-MOD($BH$1/Tabela3[[#This Row],[Cotação]],100)),)</f>
        <v>400</v>
      </c>
      <c r="AW98" s="7">
        <f>Tabela3[[#This Row],[Ativos]]*[Lucro]</f>
        <v>2.8559942119070669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2.13</v>
      </c>
      <c r="BB98" s="7">
        <f>SUMPRODUCT(N(Tabela17683[Código]=Tabela3[[#This Row],[PAPEL]]),Tabela17683[Fechamento])</f>
        <v>0</v>
      </c>
    </row>
    <row r="99" spans="1:54" ht="11.25" customHeight="1">
      <c r="A99" s="3" t="s">
        <v>1173</v>
      </c>
      <c r="B99" s="57" t="s">
        <v>1160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96096000.000000015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9" s="18">
        <f>IF(Tabela3[[#This Row],[Lucro Líquido]]&gt;0,Tabela3[[#This Row],[Lucro Líquido]]/Tabela3[[#This Row],[Patrimônio Líquido]],0)/Tabela3[[#This Row],[Ref]]*4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2.312588816579864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2.2400000000000002</v>
      </c>
      <c r="AO99" s="53">
        <f>[Cotação]/[VPA]</f>
        <v>0.62108814518943667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400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2.2400000000000002</v>
      </c>
    </row>
    <row r="100" spans="1:54" ht="11.25" customHeight="1">
      <c r="A100" s="4" t="s">
        <v>37</v>
      </c>
      <c r="B100" s="57" t="s">
        <v>174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0" s="19">
        <f>IF(Tabela3[[#This Row],[Lucro Líquido]]&gt;0,Tabela3[[#This Row],[Lucro Líquido]]/Tabela3[[#This Row],[Patrimônio Líquido]],0)/Tabela3[[#This Row],[Ref]]*4</f>
        <v>2.1102659073107918E-2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2.312588816579864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A.A.]&gt;=5%,SUMPRODUCT(N([Nome]=Tabela3[[#This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200</v>
      </c>
      <c r="AW100" s="17">
        <f>Tabela3[[#This Row],[Ativos]]*[Lucro]</f>
        <v>1.2787947637956927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t="11.25" customHeight="1">
      <c r="A101" s="4" t="s">
        <v>37</v>
      </c>
      <c r="B101" s="57" t="s">
        <v>505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1" s="19">
        <f>IF(Tabela3[[#This Row],[Lucro Líquido]]&gt;0,Tabela3[[#This Row],[Lucro Líquido]]/Tabela3[[#This Row],[Patrimônio Líquido]],0)/Tabela3[[#This Row],[Ref]]*4</f>
        <v>2.1102659073107918E-2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2.312588816579864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A.A.]&gt;=5%,SUMPRODUCT(N([Nome]=Tabela3[[#This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t="11.25" customHeight="1">
      <c r="A102" s="4" t="s">
        <v>12</v>
      </c>
      <c r="B102" s="57" t="s">
        <v>447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4314767509.8000002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2" s="19">
        <f>IF(Tabela3[[#This Row],[Lucro Líquido]]&gt;0,Tabela3[[#This Row],[Lucro Líquido]]/Tabela3[[#This Row],[Patrimônio Líquido]],0)/Tabela3[[#This Row],[Ref]]*4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2.312588816579864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1.1000000000000001</v>
      </c>
      <c r="AO102" s="44">
        <f>[Cotação]/[VPA]</f>
        <v>1.7392470286295891</v>
      </c>
      <c r="AP102" s="40">
        <f>IF(Tabela3[[#This Row],[Lucro/Ação]]&gt;0,Tabela3[[#This Row],[Cotação]]/(Tabela3[[#This Row],[Lucro/Ação]]/[Ref]*4),0)</f>
        <v>8.3772296179660977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A.A.]&gt;=5%,SUMPRODUCT(N([Nome]=Tabela3[[#This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2.8350661355951046E-2</v>
      </c>
      <c r="AU102" s="42">
        <f>((1+Tabela3[[#This Row],[% Yield]])^(1/(3*Tabela3[[#This Row],[Ref]])))^(12)-1</f>
        <v>2.8350661355950546E-2</v>
      </c>
      <c r="AV102" s="14">
        <f>IF([Cotação]&gt;0,($BH$1/Tabela3[[#This Row],[Cotação]]-MOD($BH$1/Tabela3[[#This Row],[Cotação]],100)),)</f>
        <v>800</v>
      </c>
      <c r="AW102" s="17">
        <f>Tabela3[[#This Row],[Ativos]]*[Lucro]</f>
        <v>24.948581993236925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1.1000000000000001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t="11.25" customHeight="1">
      <c r="A103" s="3" t="s">
        <v>1279</v>
      </c>
      <c r="B103" s="57" t="s">
        <v>1280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4103394.56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3" s="18">
        <f>IF(Tabela3[[#This Row],[Lucro Líquido]]&gt;0,Tabela3[[#This Row],[Lucro Líquido]]/Tabela3[[#This Row],[Patrimônio Líquido]],0)/Tabela3[[#This Row],[Ref]]*4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2.312588816579864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0.04</v>
      </c>
      <c r="AO103" s="53">
        <f>[Cotação]/[VPA]</f>
        <v>-8.3314966278246047E-4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A.A.]&gt;=5%,SUMPRODUCT(N([Nome]=Tabela3[[#This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22500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0.04</v>
      </c>
    </row>
    <row r="104" spans="1:54" ht="11.25" customHeight="1">
      <c r="A104" s="3" t="s">
        <v>1279</v>
      </c>
      <c r="B104" s="57" t="s">
        <v>1281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4103394.56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4" s="18">
        <f>IF(Tabela3[[#This Row],[Lucro Líquido]]&gt;0,Tabela3[[#This Row],[Lucro Líquido]]/Tabela3[[#This Row],[Patrimônio Líquido]],0)/Tabela3[[#This Row],[Ref]]*4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2.312588816579864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0.04</v>
      </c>
      <c r="AO104" s="53">
        <f>[Cotação]/[VPA]</f>
        <v>-8.3314966278246047E-4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22500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0.04</v>
      </c>
    </row>
    <row r="105" spans="1:54" ht="11.25" customHeight="1">
      <c r="A105" s="4" t="s">
        <v>331</v>
      </c>
      <c r="B105" s="126" t="s">
        <v>1146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10920000.000000002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5" s="18">
        <f>IF(Tabela3[[#This Row],[Lucro Líquido]]&gt;0,Tabela3[[#This Row],[Lucro Líquido]]/Tabela3[[#This Row],[Patrimônio Líquido]],0)/Tabela3[[#This Row],[Ref]]*4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2.312588816579864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0.14000000000000001</v>
      </c>
      <c r="AO105" s="53">
        <f>[Cotação]/[VPA]</f>
        <v>-6.8059857772348506E-2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6400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0.14000000000000001</v>
      </c>
    </row>
    <row r="106" spans="1:54" ht="11.25" customHeight="1">
      <c r="A106" s="4" t="s">
        <v>331</v>
      </c>
      <c r="B106" s="126" t="s">
        <v>1147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7800000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6" s="18">
        <f>IF(Tabela3[[#This Row],[Lucro Líquido]]&gt;0,Tabela3[[#This Row],[Lucro Líquido]]/Tabela3[[#This Row],[Patrimônio Líquido]],0)/Tabela3[[#This Row],[Ref]]*4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2.312588816579864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0.1</v>
      </c>
      <c r="AO106" s="53">
        <f>[Cotação]/[VPA]</f>
        <v>-4.8614184123106072E-2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9000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0.1</v>
      </c>
    </row>
    <row r="107" spans="1:54" ht="11.25" customHeight="1">
      <c r="A107" s="3" t="s">
        <v>336</v>
      </c>
      <c r="B107" s="58" t="s">
        <v>343</v>
      </c>
      <c r="C107" s="83" t="str">
        <f>LEFT([PAPEL],LEN([PAPEL])-(LEN([PAPEL])-4))</f>
        <v>CCPR</v>
      </c>
      <c r="D107" s="16">
        <v>4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>
        <v>2032054000</v>
      </c>
      <c r="N107" s="54">
        <v>157976000</v>
      </c>
      <c r="O107" s="54">
        <v>254893000</v>
      </c>
      <c r="P107" s="5">
        <v>699142000</v>
      </c>
      <c r="Q107" s="5">
        <v>148901000</v>
      </c>
      <c r="R107" s="5">
        <f>IF(Tabela3[[#This Row],[Ativo || Passivo]]&gt;0,Tabela3[[#This Row],[Ativo || Passivo]]-Tabela3[[#This Row],[Patrimônio Líquido]],0)</f>
        <v>1332912000</v>
      </c>
      <c r="S107" s="5">
        <f>Tabela3[[#This Row],[Cotação]]*Tabela3[[#This Row],[Total Ações]]</f>
        <v>1601900000</v>
      </c>
      <c r="T107" s="130">
        <f>IF(Tabela3[[#This Row],[Passivo Circulante]]&gt;0,Tabela3[[#This Row],[Ativo Circulante]]/Tabela3[[#This Row],[Passivo Circulante]],0)</f>
        <v>0.61977378743237355</v>
      </c>
      <c r="U10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7" s="18">
        <f>IF(Tabela3[[#This Row],[Lucro Líquido]]&gt;0,Tabela3[[#This Row],[Lucro Líquido]]/Tabela3[[#This Row],[Patrimônio Líquido]],0)/Tabela3[[#This Row],[Ref]]*4</f>
        <v>0.2129767629465831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7" s="18">
        <f>IF(Tabela3[[#This Row],[Dívida]]&gt;0,Tabela3[[#This Row],[Dívida]]/Tabela3[[#This Row],[Patrimônio Líquido]],0)</f>
        <v>1.9064968203884189</v>
      </c>
      <c r="Y107" s="18">
        <f>SUMPRODUCT(N([Dívida / PL]&gt;0),N(RIGHT([PAPEL],LEN([PAPEL])-(LEN([PAPEL])-1))="3"),[Dívida / PL])/SUMPRODUCT(N([Dívida / PL]&gt;0),N(RIGHT([PAPEL],LEN([PAPEL])-(LEN([PAPEL])-1))="3"))</f>
        <v>2.312588816579864</v>
      </c>
      <c r="Z107" s="5">
        <f>Tabela3[[#This Row],[Capital Social]]*20%</f>
        <v>66139079.178000003</v>
      </c>
      <c r="AA107" s="5">
        <f>IF(([Lucro Líquido]*5%)&gt;[Teto R. Legal],[Teto R. Legal],[Lucro Líquido]*5%)</f>
        <v>7445050</v>
      </c>
      <c r="AB107" s="5">
        <f>IF([Lucro Líquido]&lt;0,0,[Lucro Líquido]-[Reserva Legal])</f>
        <v>141455950</v>
      </c>
      <c r="AC107" s="5">
        <f>Tabela3[[#This Row],[Lucro Distribuir]]*[%Div]</f>
        <v>35363987.5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1.7939879518072288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7" s="5">
        <f>[Div Base]*[Ações]</f>
        <v>35363987.5</v>
      </c>
      <c r="AL107" s="5">
        <f>SUMPRODUCT(N([Nome]=Tabela3[[#This Row],[Nome]]),[Div Base]*[Ações])</f>
        <v>35363987.5</v>
      </c>
      <c r="AM107" s="5">
        <f>[Patrimônio Líquido]/[Total Ações]</f>
        <v>8.4233975903614464</v>
      </c>
      <c r="AN107" s="52">
        <f>MAX(Tabela3[[#This Row],[Cotação 1]:[Cotação 5]])</f>
        <v>19.3</v>
      </c>
      <c r="AO107" s="53">
        <f>[Cotação]/[VPA]</f>
        <v>2.2912369733187248</v>
      </c>
      <c r="AP107" s="37">
        <f>IF(Tabela3[[#This Row],[Lucro/Ação]]&gt;0,Tabela3[[#This Row],[Cotação]]/(Tabela3[[#This Row],[Lucro/Ação]]/[Ref]*4),0)</f>
        <v>10.758154747113855</v>
      </c>
      <c r="AQ107" s="77">
        <f>[Lucro Distribuir]/[Total Ações]</f>
        <v>1.7042885542168675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7" s="16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2.2076276609026779E-2</v>
      </c>
      <c r="AU107" s="18">
        <f>((1+Tabela3[[#This Row],[% Yield]])^(1/(3*Tabela3[[#This Row],[Ref]])))^(12)-1</f>
        <v>2.2076276609026557E-2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19.3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ht="11.25" customHeight="1">
      <c r="A108" s="3" t="s">
        <v>1182</v>
      </c>
      <c r="B108" s="57" t="s">
        <v>1175</v>
      </c>
      <c r="C108" s="16" t="str">
        <f>LEFT([PAPEL],LEN([PAPEL])-(LEN([PAPEL])-4))</f>
        <v>CCRO</v>
      </c>
      <c r="D108" s="16">
        <v>3</v>
      </c>
      <c r="E108" s="5">
        <v>2055495430.54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5045764000</v>
      </c>
      <c r="N108" s="54">
        <v>306010000</v>
      </c>
      <c r="O108" s="54">
        <v>1335678000</v>
      </c>
      <c r="P108" s="91">
        <v>3095932000</v>
      </c>
      <c r="Q108" s="73">
        <v>1044606000</v>
      </c>
      <c r="R108" s="73">
        <f>IF(Tabela3[[#This Row],[Ativo || Passivo]]&gt;0,Tabela3[[#This Row],[Ativo || Passivo]]-Tabela3[[#This Row],[Patrimônio Líquido]],0)</f>
        <v>1949832000</v>
      </c>
      <c r="S108" s="73">
        <f>Tabela3[[#This Row],[Cotação]]*Tabela3[[#This Row],[Total Ações]]</f>
        <v>28726103744</v>
      </c>
      <c r="T108" s="37">
        <f>IF(Tabela3[[#This Row],[Passivo Circulante]]&gt;0,Tabela3[[#This Row],[Ativo Circulante]]/Tabela3[[#This Row],[Passivo Circulante]],0)</f>
        <v>0.22910461952656255</v>
      </c>
      <c r="U10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8" s="18">
        <f>IF(Tabela3[[#This Row],[Lucro Líquido]]&gt;0,Tabela3[[#This Row],[Lucro Líquido]]/Tabela3[[#This Row],[Patrimônio Líquido]],0)/Tabela3[[#This Row],[Ref]]*4</f>
        <v>0.4498832661699288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8" s="18">
        <f>IF(Tabela3[[#This Row],[Dívida]]&gt;0,Tabela3[[#This Row],[Dívida]]/Tabela3[[#This Row],[Patrimônio Líquido]],0)</f>
        <v>0.62980453059046515</v>
      </c>
      <c r="Y108" s="18">
        <f>SUMPRODUCT(N([Dívida / PL]&gt;0),N(RIGHT([PAPEL],LEN([PAPEL])-(LEN([PAPEL])-1))="3"),[Dívida / PL])/SUMPRODUCT(N([Dívida / PL]&gt;0),N(RIGHT([PAPEL],LEN([PAPEL])-(LEN([PAPEL])-1))="3"))</f>
        <v>2.312588816579864</v>
      </c>
      <c r="Z108" s="7">
        <f>Tabela3[[#This Row],[Capital Social]]*20%</f>
        <v>411099086.10800004</v>
      </c>
      <c r="AA108" s="47">
        <f>IF(([Lucro Líquido]*5%)&gt;[Teto R. Legal],[Teto R. Legal],[Lucro Líquido]*5%)</f>
        <v>52230300</v>
      </c>
      <c r="AB108" s="47">
        <f>IF([Lucro Líquido]&lt;0,0,[Lucro Líquido]-[Reserva Legal])</f>
        <v>992375700</v>
      </c>
      <c r="AC108" s="47">
        <f>Tabela3[[#This Row],[Lucro Distribuir]]*[%Div]</f>
        <v>248093925</v>
      </c>
      <c r="AD108" s="56">
        <f>SUMPRODUCT(N([Nome]=Tabela3[[#This Row],[Nome]]),[Ações])</f>
        <v>1765587200</v>
      </c>
      <c r="AE108" s="85">
        <f>[Capital Social]/[Total Ações]</f>
        <v>1.1641993273059523</v>
      </c>
      <c r="AF108" s="85">
        <f>Tabela3[[#This Row],[Lucro Líquido]]/Tabela3[[#This Row],[Total Ações]]</f>
        <v>0.59164792313854564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0.14051638174540459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0.14051638174540459</v>
      </c>
      <c r="AK108" s="7">
        <f>[Div Base]*[Ações]</f>
        <v>248093925</v>
      </c>
      <c r="AL108" s="120">
        <f>SUMPRODUCT(N([Nome]=Tabela3[[#This Row],[Nome]]),[Div Base]*[Ações])</f>
        <v>248093925</v>
      </c>
      <c r="AM108" s="5">
        <f>[Patrimônio Líquido]/[Total Ações]</f>
        <v>1.7534857525020571</v>
      </c>
      <c r="AN108" s="52">
        <f>MAX(Tabela3[[#This Row],[Cotação 1]:[Cotação 5]])</f>
        <v>16.27</v>
      </c>
      <c r="AO108" s="53">
        <f>[Cotação]/[VPA]</f>
        <v>9.2786610765352719</v>
      </c>
      <c r="AP108" s="37">
        <f>IF(Tabela3[[#This Row],[Lucro/Ação]]&gt;0,Tabela3[[#This Row],[Cotação]]/(Tabela3[[#This Row],[Lucro/Ação]]/[Ref]*4),0)</f>
        <v>20.624597032756846</v>
      </c>
      <c r="AQ108" s="85">
        <f>[Lucro Distribuir]/[Total Ações]</f>
        <v>0.56206552698161838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0.14051638174540459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8.6365323752553534E-3</v>
      </c>
      <c r="AU108" s="22">
        <f>((1+Tabela3[[#This Row],[% Yield]])^(1/(3*Tabela3[[#This Row],[Ref]])))^(12)-1</f>
        <v>1.1531920289125308E-2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16.27</v>
      </c>
    </row>
    <row r="109" spans="1:54" ht="11.25" customHeight="1">
      <c r="A109" s="4" t="s">
        <v>649</v>
      </c>
      <c r="B109" s="57" t="s">
        <v>650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170122934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9" s="19">
        <f>IF(Tabela3[[#This Row],[Lucro Líquido]]&gt;0,Tabela3[[#This Row],[Lucro Líquido]]/Tabela3[[#This Row],[Patrimônio Líquido]],0)/Tabela3[[#This Row],[Ref]]*4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2.312588816579864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1</v>
      </c>
      <c r="AO109" s="44">
        <f>[Cotação]/[VPA]</f>
        <v>0.22987442252006232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900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1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t="11.25" customHeight="1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146935328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0" s="19">
        <f>IF(Tabela3[[#This Row],[Lucro Líquido]]&gt;0,Tabela3[[#This Row],[Lucro Líquido]]/Tabela3[[#This Row],[Patrimônio Líquido]],0)/Tabela3[[#This Row],[Ref]]*4</f>
        <v>5.1228127400781982E-2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2.312588816579864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16</v>
      </c>
      <c r="AO110" s="44">
        <f>[Cotação]/[VPA]</f>
        <v>0.31531592252260759</v>
      </c>
      <c r="AP110" s="40">
        <f>IF(Tabela3[[#This Row],[Lucro/Ação]]&gt;0,Tabela3[[#This Row],[Cotação]]/(Tabela3[[#This Row],[Lucro/Ação]]/[Ref]*4),0)</f>
        <v>6.1551327077747988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16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192852618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1" s="19">
        <f>IF(Tabela3[[#This Row],[Lucro Líquido]]&gt;0,Tabela3[[#This Row],[Lucro Líquido]]/Tabela3[[#This Row],[Patrimônio Líquido]],0)/Tabela3[[#This Row],[Ref]]*4</f>
        <v>5.1228127400781982E-2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2.312588816579864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21</v>
      </c>
      <c r="AO111" s="44">
        <f>[Cotação]/[VPA]</f>
        <v>0.41385214831092249</v>
      </c>
      <c r="AP111" s="40">
        <f>IF(Tabela3[[#This Row],[Lucro/Ação]]&gt;0,Tabela3[[#This Row],[Cotação]]/(Tabela3[[#This Row],[Lucro/Ação]]/[Ref]*4),0)</f>
        <v>8.0786116789544238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A.A.]&gt;=5%,SUMPRODUCT(N([Nome]=Tabela3[[#This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0.1773666176624058</v>
      </c>
      <c r="AU111" s="19">
        <f>((1+Tabela3[[#This Row],[% Yield]])^(1/(3*Tabela3[[#This Row],[Ref]])))^(12)-1</f>
        <v>0.24322277422071825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21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t="11.25" customHeight="1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2" s="19">
        <f>IF(Tabela3[[#This Row],[Lucro Líquido]]&gt;0,Tabela3[[#This Row],[Lucro Líquido]]/Tabela3[[#This Row],[Patrimônio Líquido]],0)/Tabela3[[#This Row],[Ref]]*4</f>
        <v>5.1228127400781982E-2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2.312588816579864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customHeight="1">
      <c r="A113" s="3" t="s">
        <v>889</v>
      </c>
      <c r="B113" s="58" t="s">
        <v>890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115000000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3" s="18">
        <f>IF(Tabela3[[#This Row],[Lucro Líquido]]&gt;0,Tabela3[[#This Row],[Lucro Líquido]]/Tabela3[[#This Row],[Patrimônio Líquido]],0)/Tabela3[[#This Row],[Ref]]*4</f>
        <v>4.4841609238341483E-2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2.312588816579864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11.5</v>
      </c>
      <c r="AO113" s="53">
        <f>[Cotação]/[VPA]</f>
        <v>0.376847782988108</v>
      </c>
      <c r="AP113" s="37">
        <f>IF(Tabela3[[#This Row],[Lucro/Ação]]&gt;0,Tabela3[[#This Row],[Cotação]]/(Tabela3[[#This Row],[Lucro/Ação]]/[Ref]*4),0)</f>
        <v>8.4039754457760889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A.A.]&gt;=5%,SUMPRODUCT(N([Nome]=Tabela3[[#This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2.1195326086956522E-2</v>
      </c>
      <c r="AU113" s="22">
        <f>((1+Tabela3[[#This Row],[% Yield]])^(1/(3*Tabela3[[#This Row],[Ref]])))^(12)-1</f>
        <v>2.8359800196967155E-2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11.5</v>
      </c>
      <c r="BB113" s="7">
        <f>SUMPRODUCT(N(Tabela17683[Código]=Tabela3[[#This Row],[PAPEL]]),Tabela17683[Fechamento])</f>
        <v>0</v>
      </c>
    </row>
    <row r="114" spans="1:54" ht="11.25" customHeight="1">
      <c r="A114" s="3" t="s">
        <v>889</v>
      </c>
      <c r="B114" s="58" t="s">
        <v>891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111900000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4" s="18">
        <f>IF(Tabela3[[#This Row],[Lucro Líquido]]&gt;0,Tabela3[[#This Row],[Lucro Líquido]]/Tabela3[[#This Row],[Patrimônio Líquido]],0)/Tabela3[[#This Row],[Ref]]*4</f>
        <v>4.4841609238341483E-2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2.312588816579864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11.19</v>
      </c>
      <c r="AO114" s="53">
        <f>[Cotação]/[VPA]</f>
        <v>0.36668927753364594</v>
      </c>
      <c r="AP114" s="37">
        <f>IF(Tabela3[[#This Row],[Lucro/Ação]]&gt;0,Tabela3[[#This Row],[Cotação]]/(Tabela3[[#This Row],[Lucro/Ação]]/[Ref]*4),0)</f>
        <v>8.1774334989769066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2.1782506702412871E-2</v>
      </c>
      <c r="AU114" s="22">
        <f>((1+Tabela3[[#This Row],[% Yield]])^(1/(3*Tabela3[[#This Row],[Ref]])))^(12)-1</f>
        <v>2.9148275929584244E-2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11.19</v>
      </c>
      <c r="BB114" s="7">
        <f>SUMPRODUCT(N(Tabela17683[Código]=Tabela3[[#This Row],[PAPEL]]),Tabela17683[Fechamento])</f>
        <v>0</v>
      </c>
    </row>
    <row r="115" spans="1:54" ht="11.25" customHeight="1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5174876795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5" s="19">
        <f>IF(Tabela3[[#This Row],[Lucro Líquido]]&gt;0,Tabela3[[#This Row],[Lucro Líquido]]/Tabela3[[#This Row],[Patrimônio Líquido]],0)/Tabela3[[#This Row],[Ref]]*4</f>
        <v>0.20826961492305862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2.312588816579864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27.5</v>
      </c>
      <c r="AO115" s="44">
        <f>[Cotação]/[VPA]</f>
        <v>1.8624707333198729</v>
      </c>
      <c r="AP115" s="40">
        <f>IF(Tabela3[[#This Row],[Lucro/Ação]]&gt;0,Tabela3[[#This Row],[Cotação]]/(Tabela3[[#This Row],[Lucro/Ação]]/[Ref]*4),0)</f>
        <v>8.9425945979106363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1.9298968774923281E-2</v>
      </c>
      <c r="AU115" s="19">
        <f>((1+Tabela3[[#This Row],[% Yield]])^(1/(3*Tabela3[[#This Row],[Ref]])))^(12)-1</f>
        <v>2.5814372943745001E-2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27.5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t="11.25" customHeight="1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6" s="19">
        <f>IF(Tabela3[[#This Row],[Lucro Líquido]]&gt;0,Tabela3[[#This Row],[Lucro Líquido]]/Tabela3[[#This Row],[Patrimônio Líquido]],0)/Tabela3[[#This Row],[Ref]]*4</f>
        <v>0.20826961492305862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2.312588816579864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t="11.25" customHeight="1">
      <c r="A117" s="4" t="s">
        <v>12</v>
      </c>
      <c r="B117" s="57" t="s">
        <v>468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7" s="19">
        <f>IF(Tabela3[[#This Row],[Lucro Líquido]]&gt;0,Tabela3[[#This Row],[Lucro Líquido]]/Tabela3[[#This Row],[Patrimônio Líquido]],0)/Tabela3[[#This Row],[Ref]]*4</f>
        <v>0.20826961492305862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2.312588816579864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t="11.25" customHeight="1">
      <c r="A118" s="4" t="s">
        <v>12</v>
      </c>
      <c r="B118" s="57" t="s">
        <v>479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8" s="19">
        <f>IF(Tabela3[[#This Row],[Lucro Líquido]]&gt;0,Tabela3[[#This Row],[Lucro Líquido]]/Tabela3[[#This Row],[Patrimônio Líquido]],0)/Tabela3[[#This Row],[Ref]]*4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2.312588816579864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900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t="11.25" customHeight="1">
      <c r="A119" s="4" t="s">
        <v>12</v>
      </c>
      <c r="B119" s="57" t="s">
        <v>480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9" s="19">
        <f>IF(Tabela3[[#This Row],[Lucro Líquido]]&gt;0,Tabela3[[#This Row],[Lucro Líquido]]/Tabela3[[#This Row],[Patrimônio Líquido]],0)/Tabela3[[#This Row],[Ref]]*4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2.312588816579864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500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t="11.25" customHeight="1">
      <c r="A120" s="4" t="s">
        <v>508</v>
      </c>
      <c r="B120" s="57" t="s">
        <v>513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0" s="19">
        <f>IF(Tabela3[[#This Row],[Lucro Líquido]]&gt;0,Tabela3[[#This Row],[Lucro Líquido]]/Tabela3[[#This Row],[Patrimônio Líquido]],0)/Tabela3[[#This Row],[Ref]]*4</f>
        <v>0.36445475369796299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2.312588816579864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t="11.25" customHeight="1">
      <c r="A121" s="4" t="s">
        <v>12</v>
      </c>
      <c r="B121" s="126" t="s">
        <v>456</v>
      </c>
      <c r="C121" s="15" t="str">
        <f>LEFT([PAPEL],LEN([PAPEL])-(LEN([PAPEL])-4))</f>
        <v>CELP</v>
      </c>
      <c r="D121" s="15">
        <v>4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>
        <v>4469736000</v>
      </c>
      <c r="N121" s="55">
        <v>1095750000</v>
      </c>
      <c r="O121" s="55">
        <v>1001311000</v>
      </c>
      <c r="P121" s="92">
        <v>394077000</v>
      </c>
      <c r="Q121" s="93">
        <v>-228787000</v>
      </c>
      <c r="R121" s="93">
        <f>IF(Tabela3[[#This Row],[Ativo || Passivo]]&gt;0,Tabela3[[#This Row],[Ativo || Passivo]]-Tabela3[[#This Row],[Patrimônio Líquido]],0)</f>
        <v>4075659000</v>
      </c>
      <c r="S121" s="93">
        <f>Tabela3[[#This Row],[Cotação]]*Tabela3[[#This Row],[Total Ações]]</f>
        <v>2365237760.6799998</v>
      </c>
      <c r="T121" s="40">
        <f>IF(Tabela3[[#This Row],[Passivo Circulante]]&gt;0,Tabela3[[#This Row],[Ativo Circulante]]/Tabela3[[#This Row],[Passivo Circulante]],0)</f>
        <v>1.0943153525727771</v>
      </c>
      <c r="U12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1" s="19">
        <f>IF(Tabela3[[#This Row],[Lucro Líquido]]&gt;0,Tabela3[[#This Row],[Lucro Líquido]]/Tabela3[[#This Row],[Patrimônio Líquido]],0)/Tabela3[[#This Row],[Ref]]*4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1" s="19">
        <f>IF(Tabela3[[#This Row],[Dívida]]&gt;0,Tabela3[[#This Row],[Dívida]]/Tabela3[[#This Row],[Patrimônio Líquido]],0)</f>
        <v>10.342290973591455</v>
      </c>
      <c r="Y121" s="19">
        <f>SUMPRODUCT(N([Dívida / PL]&gt;0),N(RIGHT([PAPEL],LEN([PAPEL])-(LEN([PAPEL])-1))="3"),[Dívida / PL])/SUMPRODUCT(N([Dívida / PL]&gt;0),N(RIGHT([PAPEL],LEN([PAPEL])-(LEN([PAPEL])-1))="3"))</f>
        <v>2.312588816579864</v>
      </c>
      <c r="Z121" s="13">
        <f>Tabela3[[#This Row],[Capital Social]]*20%</f>
        <v>184904771.23000002</v>
      </c>
      <c r="AA121" s="13">
        <f>IF(([Lucro Líquido]*5%)&gt;[Teto R. Legal],[Teto R. Legal],[Lucro Líquido]*5%)</f>
        <v>-11439350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-0.11994391630143691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0.20659888325963169</v>
      </c>
      <c r="AN121" s="48">
        <f>MAX(Tabela3[[#This Row],[Cotação 1]:[Cotação 5]])</f>
        <v>1.24</v>
      </c>
      <c r="AO121" s="44">
        <f>[Cotação]/[VPA]</f>
        <v>6.0019685510192167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700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1.24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t="11.25" customHeight="1">
      <c r="A122" s="4" t="s">
        <v>12</v>
      </c>
      <c r="B122" s="126" t="s">
        <v>457</v>
      </c>
      <c r="C122" s="15" t="str">
        <f>LEFT([PAPEL],LEN([PAPEL])-(LEN([PAPEL])-4))</f>
        <v>CELP</v>
      </c>
      <c r="D122" s="15">
        <v>4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>
        <v>4469736000</v>
      </c>
      <c r="N122" s="55">
        <v>1095750000</v>
      </c>
      <c r="O122" s="55">
        <v>1001311000</v>
      </c>
      <c r="P122" s="92">
        <v>394077000</v>
      </c>
      <c r="Q122" s="93">
        <v>-228787000</v>
      </c>
      <c r="R122" s="93">
        <f>IF(Tabela3[[#This Row],[Ativo || Passivo]]&gt;0,Tabela3[[#This Row],[Ativo || Passivo]]-Tabela3[[#This Row],[Patrimônio Líquido]],0)</f>
        <v>4075659000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1.0943153525727771</v>
      </c>
      <c r="U12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2" s="19">
        <f>IF(Tabela3[[#This Row],[Lucro Líquido]]&gt;0,Tabela3[[#This Row],[Lucro Líquido]]/Tabela3[[#This Row],[Patrimônio Líquido]],0)/Tabela3[[#This Row],[Ref]]*4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2" s="19">
        <f>IF(Tabela3[[#This Row],[Dívida]]&gt;0,Tabela3[[#This Row],[Dívida]]/Tabela3[[#This Row],[Patrimônio Líquido]],0)</f>
        <v>10.342290973591455</v>
      </c>
      <c r="Y122" s="19">
        <f>SUMPRODUCT(N([Dívida / PL]&gt;0),N(RIGHT([PAPEL],LEN([PAPEL])-(LEN([PAPEL])-1))="3"),[Dívida / PL])/SUMPRODUCT(N([Dívida / PL]&gt;0),N(RIGHT([PAPEL],LEN([PAPEL])-(LEN([PAPEL])-1))="3"))</f>
        <v>2.312588816579864</v>
      </c>
      <c r="Z122" s="13">
        <f>Tabela3[[#This Row],[Capital Social]]*20%</f>
        <v>184904771.23000002</v>
      </c>
      <c r="AA122" s="13">
        <f>IF(([Lucro Líquido]*5%)&gt;[Teto R. Legal],[Teto R. Legal],[Lucro Líquido]*5%)</f>
        <v>-11439350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-0.11994391630143691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0.20659888325963169</v>
      </c>
      <c r="AN122" s="48">
        <f>MAX(Tabela3[[#This Row],[Cotação 1]:[Cotação 5]])</f>
        <v>1</v>
      </c>
      <c r="AO122" s="44">
        <f>[Cotação]/[VPA]</f>
        <v>4.8402972185638848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900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t="11.25" customHeight="1">
      <c r="A123" s="4" t="s">
        <v>12</v>
      </c>
      <c r="B123" s="126" t="s">
        <v>458</v>
      </c>
      <c r="C123" s="15" t="str">
        <f>LEFT([PAPEL],LEN([PAPEL])-(LEN([PAPEL])-4))</f>
        <v>CELP</v>
      </c>
      <c r="D123" s="15">
        <v>4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>
        <v>4469736000</v>
      </c>
      <c r="N123" s="55">
        <v>1095750000</v>
      </c>
      <c r="O123" s="55">
        <v>1001311000</v>
      </c>
      <c r="P123" s="92">
        <v>394077000</v>
      </c>
      <c r="Q123" s="93">
        <v>-228787000</v>
      </c>
      <c r="R123" s="93">
        <f>IF(Tabela3[[#This Row],[Ativo || Passivo]]&gt;0,Tabela3[[#This Row],[Ativo || Passivo]]-Tabela3[[#This Row],[Patrimônio Líquido]],0)</f>
        <v>4075659000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1.0943153525727771</v>
      </c>
      <c r="U12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3" s="19">
        <f>IF(Tabela3[[#This Row],[Lucro Líquido]]&gt;0,Tabela3[[#This Row],[Lucro Líquido]]/Tabela3[[#This Row],[Patrimônio Líquido]],0)/Tabela3[[#This Row],[Ref]]*4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3" s="19">
        <f>IF(Tabela3[[#This Row],[Dívida]]&gt;0,Tabela3[[#This Row],[Dívida]]/Tabela3[[#This Row],[Patrimônio Líquido]],0)</f>
        <v>10.342290973591455</v>
      </c>
      <c r="Y123" s="19">
        <f>SUMPRODUCT(N([Dívida / PL]&gt;0),N(RIGHT([PAPEL],LEN([PAPEL])-(LEN([PAPEL])-1))="3"),[Dívida / PL])/SUMPRODUCT(N([Dívida / PL]&gt;0),N(RIGHT([PAPEL],LEN([PAPEL])-(LEN([PAPEL])-1))="3"))</f>
        <v>2.312588816579864</v>
      </c>
      <c r="Z123" s="13">
        <f>Tabela3[[#This Row],[Capital Social]]*20%</f>
        <v>184904771.23000002</v>
      </c>
      <c r="AA123" s="13">
        <f>IF(([Lucro Líquido]*5%)&gt;[Teto R. Legal],[Teto R. Legal],[Lucro Líquido]*5%)</f>
        <v>-11439350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-0.11994391630143691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0.20659888325963169</v>
      </c>
      <c r="AN123" s="48">
        <f>MAX(Tabela3[[#This Row],[Cotação 1]:[Cotação 5]])</f>
        <v>0.75</v>
      </c>
      <c r="AO123" s="44">
        <f>[Cotação]/[VPA]</f>
        <v>3.6302229139229136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1200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t="11.25" customHeight="1">
      <c r="A124" s="4" t="s">
        <v>12</v>
      </c>
      <c r="B124" s="126" t="s">
        <v>459</v>
      </c>
      <c r="C124" s="15" t="str">
        <f>LEFT([PAPEL],LEN([PAPEL])-(LEN([PAPEL])-4))</f>
        <v>CELP</v>
      </c>
      <c r="D124" s="15">
        <v>4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>
        <v>4469736000</v>
      </c>
      <c r="N124" s="55">
        <v>1095750000</v>
      </c>
      <c r="O124" s="55">
        <v>1001311000</v>
      </c>
      <c r="P124" s="92">
        <v>394077000</v>
      </c>
      <c r="Q124" s="93">
        <v>-228787000</v>
      </c>
      <c r="R124" s="93">
        <f>IF(Tabela3[[#This Row],[Ativo || Passivo]]&gt;0,Tabela3[[#This Row],[Ativo || Passivo]]-Tabela3[[#This Row],[Patrimônio Líquido]],0)</f>
        <v>4075659000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1.0943153525727771</v>
      </c>
      <c r="U12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4" s="19">
        <f>IF(Tabela3[[#This Row],[Lucro Líquido]]&gt;0,Tabela3[[#This Row],[Lucro Líquido]]/Tabela3[[#This Row],[Patrimônio Líquido]],0)/Tabela3[[#This Row],[Ref]]*4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4" s="19">
        <f>IF(Tabela3[[#This Row],[Dívida]]&gt;0,Tabela3[[#This Row],[Dívida]]/Tabela3[[#This Row],[Patrimônio Líquido]],0)</f>
        <v>10.342290973591455</v>
      </c>
      <c r="Y124" s="19">
        <f>SUMPRODUCT(N([Dívida / PL]&gt;0),N(RIGHT([PAPEL],LEN([PAPEL])-(LEN([PAPEL])-1))="3"),[Dívida / PL])/SUMPRODUCT(N([Dívida / PL]&gt;0),N(RIGHT([PAPEL],LEN([PAPEL])-(LEN([PAPEL])-1))="3"))</f>
        <v>2.312588816579864</v>
      </c>
      <c r="Z124" s="13">
        <f>Tabela3[[#This Row],[Capital Social]]*20%</f>
        <v>184904771.23000002</v>
      </c>
      <c r="AA124" s="13">
        <f>IF(([Lucro Líquido]*5%)&gt;[Teto R. Legal],[Teto R. Legal],[Lucro Líquido]*5%)</f>
        <v>-11439350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-0.11994391630143691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0.20659888325963169</v>
      </c>
      <c r="AN124" s="48">
        <f>MAX(Tabela3[[#This Row],[Cotação 1]:[Cotação 5]])</f>
        <v>0.6</v>
      </c>
      <c r="AO124" s="44">
        <f>[Cotação]/[VPA]</f>
        <v>2.9041783311383309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1500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t="11.25" customHeight="1">
      <c r="A125" s="4" t="s">
        <v>12</v>
      </c>
      <c r="B125" s="57" t="s">
        <v>469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5" s="19">
        <f>IF(Tabela3[[#This Row],[Lucro Líquido]]&gt;0,Tabela3[[#This Row],[Lucro Líquido]]/Tabela3[[#This Row],[Patrimônio Líquido]],0)/Tabela3[[#This Row],[Ref]]*4</f>
        <v>2.2718961270967303E-2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2.312588816579864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t="11.25" customHeight="1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6" s="19">
        <f>IF(Tabela3[[#This Row],[Lucro Líquido]]&gt;0,Tabela3[[#This Row],[Lucro Líquido]]/Tabela3[[#This Row],[Patrimônio Líquido]],0)/Tabela3[[#This Row],[Ref]]*4</f>
        <v>2.2718961270967303E-2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2.312588816579864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t="11.25" customHeight="1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1343769107.8800001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7" s="19">
        <f>IF(Tabela3[[#This Row],[Lucro Líquido]]&gt;0,Tabela3[[#This Row],[Lucro Líquido]]/Tabela3[[#This Row],[Patrimônio Líquido]],0)/Tabela3[[#This Row],[Ref]]*4</f>
        <v>2.2718961270967303E-2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2.312588816579864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18.010000000000002</v>
      </c>
      <c r="AO127" s="44">
        <f>[Cotação]/[VPA]</f>
        <v>0.36240548811785384</v>
      </c>
      <c r="AP127" s="40">
        <f>IF(Tabela3[[#This Row],[Lucro/Ação]]&gt;0,Tabela3[[#This Row],[Cotação]]/(Tabela3[[#This Row],[Lucro/Ação]]/[Ref]*4),0)</f>
        <v>15.95167506980057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A.A.]&gt;=5%,SUMPRODUCT(N([Nome]=Tabela3[[#This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1.1901015958037466E-2</v>
      </c>
      <c r="AU127" s="19">
        <f>((1+Tabela3[[#This Row],[% Yield]])^(1/(3*Tabela3[[#This Row],[Ref]])))^(12)-1</f>
        <v>1.5899412710907557E-2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18.010000000000002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t="11.25" customHeight="1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6196350573.1600008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8" s="19">
        <f>IF(Tabela3[[#This Row],[Lucro Líquido]]&gt;0,Tabela3[[#This Row],[Lucro Líquido]]/Tabela3[[#This Row],[Patrimônio Líquido]],0)/Tabela3[[#This Row],[Ref]]*4</f>
        <v>0.10118022624419852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2.312588816579864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18.920000000000002</v>
      </c>
      <c r="AO128" s="44">
        <f>[Cotação]/[VPA]</f>
        <v>0.5913028408280101</v>
      </c>
      <c r="AP128" s="40">
        <f>IF(Tabela3[[#This Row],[Lucro/Ação]]&gt;0,Tabela3[[#This Row],[Cotação]]/(Tabela3[[#This Row],[Lucro/Ação]]/[Ref]*4),0)</f>
        <v>5.8440553335085488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2.8891092941542091E-2</v>
      </c>
      <c r="AU128" s="19">
        <f>((1+Tabela3[[#This Row],[% Yield]])^(1/(3*Tabela3[[#This Row],[Ref]])))^(12)-1</f>
        <v>3.8705768330739909E-2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18.920000000000002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7008557202.1999998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9" s="19">
        <f>IF(Tabela3[[#This Row],[Lucro Líquido]]&gt;0,Tabela3[[#This Row],[Lucro Líquido]]/Tabela3[[#This Row],[Patrimônio Líquido]],0)/Tabela3[[#This Row],[Ref]]*4</f>
        <v>0.10118022624419852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2.312588816579864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21.4</v>
      </c>
      <c r="AO129" s="44">
        <f>[Cotação]/[VPA]</f>
        <v>0.66880976710990558</v>
      </c>
      <c r="AP129" s="40">
        <f>IF(Tabela3[[#This Row],[Lucro/Ação]]&gt;0,Tabela3[[#This Row],[Cotação]]/(Tabela3[[#This Row],[Lucro/Ação]]/[Ref]*4),0)</f>
        <v>6.6100837281756304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A.A.]&gt;=5%,SUMPRODUCT(N([Nome]=Tabela3[[#This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8.5259109429174681E-2</v>
      </c>
      <c r="AU129" s="19">
        <f>((1+Tabela3[[#This Row],[% Yield]])^(1/(3*Tabela3[[#This Row],[Ref]])))^(12)-1</f>
        <v>0.11526460651872816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21.4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t="11.25" customHeight="1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6985632015.0899992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0" s="19">
        <f>IF(Tabela3[[#This Row],[Lucro Líquido]]&gt;0,Tabela3[[#This Row],[Lucro Líquido]]/Tabela3[[#This Row],[Patrimônio Líquido]],0)/Tabela3[[#This Row],[Ref]]*4</f>
        <v>0.10118022624419852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2.312588816579864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21.33</v>
      </c>
      <c r="AO130" s="44">
        <f>[Cotação]/[VPA]</f>
        <v>0.6666220716100133</v>
      </c>
      <c r="AP130" s="40">
        <f>IF(Tabela3[[#This Row],[Lucro/Ação]]&gt;0,Tabela3[[#This Row],[Cotação]]/(Tabela3[[#This Row],[Lucro/Ação]]/[Ref]*4),0)</f>
        <v>6.5884619589713171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A.A.]&gt;=5%,SUMPRODUCT(N([Nome]=Tabela3[[#This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2.5626792238817461E-2</v>
      </c>
      <c r="AU130" s="19">
        <f>((1+Tabela3[[#This Row],[% Yield]])^(1/(3*Tabela3[[#This Row],[Ref]])))^(12)-1</f>
        <v>3.4314174516160589E-2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21.33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t="11.25" customHeight="1">
      <c r="A131" s="4" t="s">
        <v>508</v>
      </c>
      <c r="B131" s="57" t="s">
        <v>509</v>
      </c>
      <c r="C131" s="15" t="str">
        <f>LEFT([PAPEL],LEN([PAPEL])-(LEN([PAPEL])-4))</f>
        <v>CGAS</v>
      </c>
      <c r="D131" s="15">
        <v>4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6919259000</v>
      </c>
      <c r="N131" s="55">
        <v>1497893000</v>
      </c>
      <c r="O131" s="55">
        <v>1403286000</v>
      </c>
      <c r="P131" s="92">
        <v>2656439000</v>
      </c>
      <c r="Q131" s="92">
        <v>618911000</v>
      </c>
      <c r="R131" s="92">
        <f>IF(Tabela3[[#This Row],[Ativo || Passivo]]&gt;0,Tabela3[[#This Row],[Ativo || Passivo]]-Tabela3[[#This Row],[Patrimônio Líquido]],0)</f>
        <v>4262820000</v>
      </c>
      <c r="S131" s="92">
        <f>Tabela3[[#This Row],[Cotação]]*Tabela3[[#This Row],[Total Ações]]</f>
        <v>5871317053</v>
      </c>
      <c r="T131" s="36">
        <f>IF(Tabela3[[#This Row],[Passivo Circulante]]&gt;0,Tabela3[[#This Row],[Ativo Circulante]]/Tabela3[[#This Row],[Passivo Circulante]],0)</f>
        <v>1.067418188451962</v>
      </c>
      <c r="U131" s="36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1" s="19">
        <f>IF(Tabela3[[#This Row],[Lucro Líquido]]&gt;0,Tabela3[[#This Row],[Lucro Líquido]]/Tabela3[[#This Row],[Patrimônio Líquido]],0)/Tabela3[[#This Row],[Ref]]*4</f>
        <v>0.2329852106523056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1" s="19">
        <f>IF(Tabela3[[#This Row],[Dívida]]&gt;0,Tabela3[[#This Row],[Dívida]]/Tabela3[[#This Row],[Patrimônio Líquido]],0)</f>
        <v>1.6047121729503293</v>
      </c>
      <c r="Y131" s="19">
        <f>SUMPRODUCT(N([Dívida / PL]&gt;0),N(RIGHT([PAPEL],LEN([PAPEL])-(LEN([PAPEL])-1))="3"),[Dívida / PL])/SUMPRODUCT(N([Dívida / PL]&gt;0),N(RIGHT([PAPEL],LEN([PAPEL])-(LEN([PAPEL])-1))="3"))</f>
        <v>2.312588816579864</v>
      </c>
      <c r="Z131" s="13">
        <f>Tabela3[[#This Row],[Capital Social]]*20%</f>
        <v>152831046.48199999</v>
      </c>
      <c r="AA131" s="13">
        <f>IF(([Lucro Líquido]*5%)&gt;[Teto R. Legal],[Teto R. Legal],[Lucro Líquido]*5%)</f>
        <v>30945550</v>
      </c>
      <c r="AB131" s="13">
        <f>IF([Lucro Líquido]&lt;0,0,[Lucro Líquido]-[Reserva Legal])</f>
        <v>587965450</v>
      </c>
      <c r="AC131" s="13">
        <f>Tabela3[[#This Row],[Lucro Distribuir]]*[%Div]</f>
        <v>146991362.5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5.1652191026720899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1" s="13">
        <f>[Div Base]*[Ações]</f>
        <v>115204211.52093892</v>
      </c>
      <c r="AL131" s="13">
        <f>SUMPRODUCT(N([Nome]=Tabela3[[#This Row],[Nome]]),[Div Base]*[Ações])</f>
        <v>146991362.5</v>
      </c>
      <c r="AM131" s="6">
        <f>[Patrimônio Líquido]/[Total Ações]</f>
        <v>22.169729521503324</v>
      </c>
      <c r="AN131" s="48">
        <f>MAX(Tabela3[[#This Row],[Cotação 1]:[Cotação 5]])</f>
        <v>49</v>
      </c>
      <c r="AO131" s="44">
        <f>[Cotação]/[VPA]</f>
        <v>2.2102209209396491</v>
      </c>
      <c r="AP131" s="40">
        <f>IF(Tabela3[[#This Row],[Lucro/Ação]]&gt;0,Tabela3[[#This Row],[Cotação]]/(Tabela3[[#This Row],[Lucro/Ação]]/[Ref]*4),0)</f>
        <v>9.4865288434039794</v>
      </c>
      <c r="AQ131" s="78">
        <f>[Lucro Distribuir]/[Total Ações]</f>
        <v>4.9069581475384858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1" s="14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2.5035500752747377E-2</v>
      </c>
      <c r="AU131" s="42">
        <f>((1+Tabela3[[#This Row],[% Yield]])^(1/(3*Tabela3[[#This Row],[Ref]])))^(12)-1</f>
        <v>2.5035500752748296E-2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49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t="11.25" customHeight="1">
      <c r="A132" s="4" t="s">
        <v>508</v>
      </c>
      <c r="B132" s="57" t="s">
        <v>510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6919259000</v>
      </c>
      <c r="N132" s="55">
        <v>1497893000</v>
      </c>
      <c r="O132" s="55">
        <v>1403286000</v>
      </c>
      <c r="P132" s="92">
        <v>2656439000</v>
      </c>
      <c r="Q132" s="92">
        <v>618911000</v>
      </c>
      <c r="R132" s="92">
        <f>IF(Tabela3[[#This Row],[Ativo || Passivo]]&gt;0,Tabela3[[#This Row],[Ativo || Passivo]]-Tabela3[[#This Row],[Patrimônio Líquido]],0)</f>
        <v>4262820000</v>
      </c>
      <c r="S132" s="92">
        <f>Tabela3[[#This Row],[Cotação]]*Tabela3[[#This Row],[Total Ações]]</f>
        <v>6063033528.1999998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2" s="19">
        <f>IF(Tabela3[[#This Row],[Lucro Líquido]]&gt;0,Tabela3[[#This Row],[Lucro Líquido]]/Tabela3[[#This Row],[Patrimônio Líquido]],0)/Tabela3[[#This Row],[Ref]]*4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2.312588816579864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5.1652191026720899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31787150.979061086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50.6</v>
      </c>
      <c r="AO132" s="44">
        <f>[Cotação]/[VPA]</f>
        <v>2.2823913999907397</v>
      </c>
      <c r="AP132" s="40">
        <f>IF(Tabela3[[#This Row],[Lucro/Ação]]&gt;0,Tabela3[[#This Row],[Cotação]]/(Tabela3[[#This Row],[Lucro/Ação]]/[Ref]*4),0)</f>
        <v>9.796293050535537</v>
      </c>
      <c r="AQ132" s="78">
        <f>[Lucro Distribuir]/[Total Ações]</f>
        <v>4.9069581475384858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2.4243864365308725E-2</v>
      </c>
      <c r="AU132" s="42">
        <f>((1+Tabela3[[#This Row],[% Yield]])^(1/(3*Tabela3[[#This Row],[Ref]])))^(12)-1</f>
        <v>2.4243864365307566E-2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50.6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t="11.25" customHeight="1">
      <c r="A133" s="3" t="s">
        <v>1034</v>
      </c>
      <c r="B133" s="58" t="s">
        <v>1037</v>
      </c>
      <c r="C133" s="16" t="str">
        <f>LEFT([PAPEL],LEN([PAPEL])-(LEN([PAPEL])-4))</f>
        <v>CGRA</v>
      </c>
      <c r="D133" s="16">
        <v>4</v>
      </c>
      <c r="E133" s="5">
        <v>141551832</v>
      </c>
      <c r="F133" s="56">
        <v>8759925</v>
      </c>
      <c r="G133" s="81">
        <v>0.25</v>
      </c>
      <c r="H133" s="87"/>
      <c r="J133" s="18"/>
      <c r="K133" s="16"/>
      <c r="L133" s="87"/>
      <c r="M133" s="54">
        <v>493836775</v>
      </c>
      <c r="N133" s="54">
        <v>244813557</v>
      </c>
      <c r="O133" s="54">
        <v>113102343</v>
      </c>
      <c r="P133" s="91">
        <v>356152349</v>
      </c>
      <c r="Q133" s="73">
        <v>50433141</v>
      </c>
      <c r="R133" s="73">
        <f>IF(Tabela3[[#This Row],[Ativo || Passivo]]&gt;0,Tabela3[[#This Row],[Ativo || Passivo]]-Tabela3[[#This Row],[Patrimônio Líquido]],0)</f>
        <v>137684426</v>
      </c>
      <c r="S133" s="73">
        <f>Tabela3[[#This Row],[Cotação]]*Tabela3[[#This Row],[Total Ações]]</f>
        <v>380944287.5</v>
      </c>
      <c r="T133" s="37">
        <f>IF(Tabela3[[#This Row],[Passivo Circulante]]&gt;0,Tabela3[[#This Row],[Ativo Circulante]]/Tabela3[[#This Row],[Passivo Circulante]],0)</f>
        <v>2.1645312599757549</v>
      </c>
      <c r="U13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3" s="18">
        <f>IF(Tabela3[[#This Row],[Lucro Líquido]]&gt;0,Tabela3[[#This Row],[Lucro Líquido]]/Tabela3[[#This Row],[Patrimônio Líquido]],0)/Tabela3[[#This Row],[Ref]]*4</f>
        <v>0.14160552679662378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3" s="18">
        <f>IF(Tabela3[[#This Row],[Dívida]]&gt;0,Tabela3[[#This Row],[Dívida]]/Tabela3[[#This Row],[Patrimônio Líquido]],0)</f>
        <v>0.38658856634411809</v>
      </c>
      <c r="Y133" s="18">
        <f>SUMPRODUCT(N([Dívida / PL]&gt;0),N(RIGHT([PAPEL],LEN([PAPEL])-(LEN([PAPEL])-1))="3"),[Dívida / PL])/SUMPRODUCT(N([Dívida / PL]&gt;0),N(RIGHT([PAPEL],LEN([PAPEL])-(LEN([PAPEL])-1))="3"))</f>
        <v>2.312588816579864</v>
      </c>
      <c r="Z133" s="7">
        <f>Tabela3[[#This Row],[Capital Social]]*20%</f>
        <v>28310366.400000002</v>
      </c>
      <c r="AA133" s="47">
        <f>IF(([Lucro Líquido]*5%)&gt;[Teto R. Legal],[Teto R. Legal],[Lucro Líquido]*5%)</f>
        <v>2521657.0500000003</v>
      </c>
      <c r="AB133" s="47">
        <f>IF([Lucro Líquido]&lt;0,0,[Lucro Líquido]-[Reserva Legal])</f>
        <v>47911483.950000003</v>
      </c>
      <c r="AC133" s="47">
        <f>Tabela3[[#This Row],[Lucro Distribuir]]*[%Div]</f>
        <v>11977870.987500001</v>
      </c>
      <c r="AD133" s="56">
        <f>SUMPRODUCT(N([Nome]=Tabela3[[#This Row],[Nome]]),[Ações])</f>
        <v>21768245</v>
      </c>
      <c r="AE133" s="85">
        <f>[Capital Social]/[Total Ações]</f>
        <v>6.502675433871679</v>
      </c>
      <c r="AF133" s="85">
        <f>Tabela3[[#This Row],[Lucro Líquido]]/Tabela3[[#This Row],[Total Ações]]</f>
        <v>2.3168216362871696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3" s="7">
        <f>[Div Base]*[Ações]</f>
        <v>4820106.14591006</v>
      </c>
      <c r="AL133" s="120">
        <f>SUMPRODUCT(N([Nome]=Tabela3[[#This Row],[Nome]]),[Div Base]*[Ações])</f>
        <v>11977870.987500001</v>
      </c>
      <c r="AM133" s="5">
        <f>[Patrimônio Líquido]/[Total Ações]</f>
        <v>16.361096128787597</v>
      </c>
      <c r="AN133" s="52">
        <f>MAX(Tabela3[[#This Row],[Cotação 1]:[Cotação 5]])</f>
        <v>17.5</v>
      </c>
      <c r="AO133" s="53">
        <f>[Cotação]/[VPA]</f>
        <v>1.0696104871120757</v>
      </c>
      <c r="AP133" s="37">
        <f>IF(Tabela3[[#This Row],[Lucro/Ação]]&gt;0,Tabela3[[#This Row],[Cotação]]/(Tabela3[[#This Row],[Lucro/Ação]]/[Ref]*4),0)</f>
        <v>7.5534515587676765</v>
      </c>
      <c r="AQ133" s="85">
        <f>[Lucro Distribuir]/[Total Ações]</f>
        <v>2.2009805544728112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3.1442579349611588E-2</v>
      </c>
      <c r="AU133" s="22">
        <f>((1+Tabela3[[#This Row],[% Yield]])^(1/(3*Tabela3[[#This Row],[Ref]])))^(12)-1</f>
        <v>3.1442579349610922E-2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17.5</v>
      </c>
      <c r="BB133" s="7">
        <f>SUMPRODUCT(N(Tabela17683[Código]=Tabela3[[#This Row],[PAPEL]]),Tabela17683[Fechamento])</f>
        <v>0</v>
      </c>
    </row>
    <row r="134" spans="1:54" ht="11.25" customHeight="1">
      <c r="A134" s="3" t="s">
        <v>1034</v>
      </c>
      <c r="B134" s="58" t="s">
        <v>1038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13008320</v>
      </c>
      <c r="G134" s="81">
        <v>0.25</v>
      </c>
      <c r="H134" s="87"/>
      <c r="J134" s="18"/>
      <c r="K134" s="16"/>
      <c r="L134" s="87"/>
      <c r="M134" s="54">
        <v>493836775</v>
      </c>
      <c r="N134" s="54">
        <v>244813557</v>
      </c>
      <c r="O134" s="54">
        <v>113102343</v>
      </c>
      <c r="P134" s="91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369624800.10000002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4" s="18">
        <f>IF(Tabela3[[#This Row],[Lucro Líquido]]&gt;0,Tabela3[[#This Row],[Lucro Líquido]]/Tabela3[[#This Row],[Patrimônio Líquido]],0)/Tabela3[[#This Row],[Ref]]*4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2.312588816579864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5">
        <f>[Capital Social]/[Total Ações]</f>
        <v>6.502675433871679</v>
      </c>
      <c r="AF134" s="85">
        <f>Tabela3[[#This Row],[Lucro Líquido]]/Tabela3[[#This Row],[Total Ações]]</f>
        <v>2.3168216362871696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7157764.8415899398</v>
      </c>
      <c r="AL134" s="120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16.98</v>
      </c>
      <c r="AO134" s="53">
        <f>[Cotação]/[VPA]</f>
        <v>1.0378277754950314</v>
      </c>
      <c r="AP134" s="37">
        <f>IF(Tabela3[[#This Row],[Lucro/Ação]]&gt;0,Tabela3[[#This Row],[Cotação]]/(Tabela3[[#This Row],[Lucro/Ação]]/[Ref]*4),0)</f>
        <v>7.3290061410214369</v>
      </c>
      <c r="AQ134" s="85">
        <f>[Lucro Distribuir]/[Total Ações]</f>
        <v>2.2009805544728112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3.2405485195418304E-2</v>
      </c>
      <c r="AU134" s="22">
        <f>((1+Tabela3[[#This Row],[% Yield]])^(1/(3*Tabela3[[#This Row],[Ref]])))^(12)-1</f>
        <v>3.240548519541786E-2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16.98</v>
      </c>
      <c r="BB134" s="7">
        <f>SUMPRODUCT(N(Tabela17683[Código]=Tabela3[[#This Row],[PAPEL]]),Tabela17683[Fechamento])</f>
        <v>0</v>
      </c>
    </row>
    <row r="135" spans="1:54" ht="11.25" customHeight="1">
      <c r="A135" s="4" t="s">
        <v>366</v>
      </c>
      <c r="B135" s="57" t="s">
        <v>369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51168255877.209999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5" s="19">
        <f>IF(Tabela3[[#This Row],[Lucro Líquido]]&gt;0,Tabela3[[#This Row],[Lucro Líquido]]/Tabela3[[#This Row],[Patrimônio Líquido]],0)/Tabela3[[#This Row],[Ref]]*4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2.312588816579864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65.09</v>
      </c>
      <c r="AO135" s="44">
        <f>[Cotação]/[VPA]</f>
        <v>15.412937693164549</v>
      </c>
      <c r="AP135" s="40">
        <f>IF(Tabela3[[#This Row],[Lucro/Ação]]&gt;0,Tabela3[[#This Row],[Cotação]]/(Tabela3[[#This Row],[Lucro/Ação]]/[Ref]*4),0)</f>
        <v>19.13832912136478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A.A.]&gt;=5%,SUMPRODUCT(N([Nome]=Tabela3[[#This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2.4819303555070591E-2</v>
      </c>
      <c r="AU135" s="19">
        <f>((1+Tabela3[[#This Row],[% Yield]])^(1/(3*Tabela3[[#This Row],[Ref]])))^(12)-1</f>
        <v>2.481930355507167E-2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65.09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3" t="s">
        <v>268</v>
      </c>
      <c r="B136" s="58" t="s">
        <v>265</v>
      </c>
      <c r="C136" s="83" t="str">
        <f>LEFT([PAPEL],LEN([PAPEL])-(LEN([PAPEL])-4))</f>
        <v>CIQU</v>
      </c>
      <c r="D136" s="16">
        <v>3</v>
      </c>
      <c r="E136" s="5">
        <v>173000000</v>
      </c>
      <c r="F136" s="56">
        <v>8316000</v>
      </c>
      <c r="G136" s="86">
        <v>0.25</v>
      </c>
      <c r="H136" s="16"/>
      <c r="J136" s="18"/>
      <c r="K136" s="87"/>
      <c r="L136" s="87"/>
      <c r="M136" s="54">
        <v>571642000</v>
      </c>
      <c r="N136" s="54">
        <v>361717000</v>
      </c>
      <c r="O136" s="54">
        <v>263730000</v>
      </c>
      <c r="P136" s="5">
        <v>264517000</v>
      </c>
      <c r="Q136" s="6">
        <v>37183000</v>
      </c>
      <c r="R136" s="5">
        <f>IF(Tabela3[[#This Row],[Ativo || Passivo]]&gt;0,Tabela3[[#This Row],[Ativo || Passivo]]-Tabela3[[#This Row],[Patrimônio Líquido]],0)</f>
        <v>307125000</v>
      </c>
      <c r="S136" s="5">
        <f>Tabela3[[#This Row],[Cotação]]*Tabela3[[#This Row],[Total Ações]]</f>
        <v>176631840</v>
      </c>
      <c r="T136" s="130">
        <f>IF(Tabela3[[#This Row],[Passivo Circulante]]&gt;0,Tabela3[[#This Row],[Ativo Circulante]]/Tabela3[[#This Row],[Passivo Circulante]],0)</f>
        <v>1.3715428658097297</v>
      </c>
      <c r="U13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6" s="18">
        <f>IF(Tabela3[[#This Row],[Lucro Líquido]]&gt;0,Tabela3[[#This Row],[Lucro Líquido]]/Tabela3[[#This Row],[Patrimônio Líquido]],0)/Tabela3[[#This Row],[Ref]]*4</f>
        <v>0.18742588693102269</v>
      </c>
      <c r="W13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6" s="18">
        <f>IF(Tabela3[[#This Row],[Dívida]]&gt;0,Tabela3[[#This Row],[Dívida]]/Tabela3[[#This Row],[Patrimônio Líquido]],0)</f>
        <v>1.1610784940098369</v>
      </c>
      <c r="Y136" s="18">
        <f>SUMPRODUCT(N([Dívida / PL]&gt;0),N(RIGHT([PAPEL],LEN([PAPEL])-(LEN([PAPEL])-1))="3"),[Dívida / PL])/SUMPRODUCT(N([Dívida / PL]&gt;0),N(RIGHT([PAPEL],LEN([PAPEL])-(LEN([PAPEL])-1))="3"))</f>
        <v>2.312588816579864</v>
      </c>
      <c r="Z136" s="5">
        <f>Tabela3[[#This Row],[Capital Social]]*20%</f>
        <v>34600000</v>
      </c>
      <c r="AA136" s="5">
        <f>IF(([Lucro Líquido]*5%)&gt;[Teto R. Legal],[Teto R. Legal],[Lucro Líquido]*5%)</f>
        <v>1859150</v>
      </c>
      <c r="AB136" s="5">
        <f>IF([Lucro Líquido]&lt;0,0,[Lucro Líquido]-[Reserva Legal])</f>
        <v>35323850</v>
      </c>
      <c r="AC136" s="5">
        <f>Tabela3[[#This Row],[Lucro Distribuir]]*[%Div]</f>
        <v>8830962.5</v>
      </c>
      <c r="AD136" s="56">
        <f>SUMPRODUCT(N([Nome]=Tabela3[[#This Row],[Nome]]),[Ações])</f>
        <v>24948000</v>
      </c>
      <c r="AE136" s="5">
        <f>[Capital Social]/[Total Ações]</f>
        <v>6.934423601090268</v>
      </c>
      <c r="AF136" s="77">
        <f>Tabela3[[#This Row],[Lucro Líquido]]/Tabela3[[#This Row],[Total Ações]]</f>
        <v>1.490420073753407</v>
      </c>
      <c r="AG1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1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136" s="5">
        <f>[Div Base]*[Ações]</f>
        <v>2852065.892002333</v>
      </c>
      <c r="AL136" s="5">
        <f>SUMPRODUCT(N([Nome]=Tabela3[[#This Row],[Nome]]),[Div Base]*[Ações])</f>
        <v>9126610.8630029354</v>
      </c>
      <c r="AM136" s="5">
        <f>[Patrimônio Líquido]/[Total Ações]</f>
        <v>10.602733686067019</v>
      </c>
      <c r="AN136" s="52">
        <f>MAX(Tabela3[[#This Row],[Cotação 1]:[Cotação 5]])</f>
        <v>7.08</v>
      </c>
      <c r="AO136" s="53">
        <f>[Cotação]/[VPA]</f>
        <v>0.66775231837651272</v>
      </c>
      <c r="AP136" s="37">
        <f>IF(Tabela3[[#This Row],[Lucro/Ação]]&gt;0,Tabela3[[#This Row],[Cotação]]/(Tabela3[[#This Row],[Lucro/Ação]]/[Ref]*4),0)</f>
        <v>3.5627539466960707</v>
      </c>
      <c r="AQ136" s="77">
        <f>[Lucro Distribuir]/[Total Ações]</f>
        <v>1.4158990700657368</v>
      </c>
      <c r="AR136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136" s="16" t="str">
        <f>IF(AND([% A.A.]&gt;=5%,SUMPRODUCT(N([Nome]=Tabela3[[#This Row],[Nome]]),[PL])&gt;0,[Rentabilidade s/ PL]&gt;=[Rentabilidade s/ PL Média]),"Sim","Não")</f>
        <v>Sim</v>
      </c>
      <c r="AT136" s="22">
        <f>IF([Cotação]&gt;0,Tabela3[[#This Row],[Lucro]]/Tabela3[[#This Row],[Cotação]],0)</f>
        <v>4.8440856846687426E-2</v>
      </c>
      <c r="AU136" s="18">
        <f>((1+Tabela3[[#This Row],[% Yield]])^(1/(3*Tabela3[[#This Row],[Ref]])))^(12)-1</f>
        <v>6.510375451816186E-2</v>
      </c>
      <c r="AV136" s="14">
        <f>IF([Cotação]&gt;0,($BH$1/Tabela3[[#This Row],[Cotação]]-MOD($BH$1/Tabela3[[#This Row],[Cotação]],100)),)</f>
        <v>100</v>
      </c>
      <c r="AW136" s="7">
        <f>Tabela3[[#This Row],[Ativos]]*[Lucro]</f>
        <v>34.296126647454699</v>
      </c>
      <c r="AX136" s="47">
        <f>SUMPRODUCT(N(Tabela1[Código]=Tabela3[[#This Row],[PAPEL]]),Tabela1[Fechamento])</f>
        <v>0</v>
      </c>
      <c r="AY136" s="54">
        <f>SUMPRODUCT(N(Tabela17[Código]=Tabela3[[#This Row],[PAPEL]]),Tabela17[Fechamento])</f>
        <v>7.08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t="11.25" customHeight="1">
      <c r="A137" s="3" t="s">
        <v>268</v>
      </c>
      <c r="B137" s="58" t="s">
        <v>266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349022520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7" s="18">
        <f>IF(Tabela3[[#This Row],[Lucro Líquido]]&gt;0,Tabela3[[#This Row],[Lucro Líquido]]/Tabela3[[#This Row],[Patrimônio Líquido]],0)/Tabela3[[#This Row],[Ref]]*4</f>
        <v>0.18742588693102269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2.312588816579864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13.99</v>
      </c>
      <c r="AO137" s="53">
        <f>[Cotação]/[VPA]</f>
        <v>1.3194710358880526</v>
      </c>
      <c r="AP137" s="37">
        <f>IF(Tabela3[[#This Row],[Lucro/Ação]]&gt;0,Tabela3[[#This Row],[Cotação]]/(Tabela3[[#This Row],[Lucro/Ação]]/[Ref]*4),0)</f>
        <v>7.0399615415646934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A.A.]&gt;=5%,SUMPRODUCT(N([Nome]=Tabela3[[#This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2.696621827296675E-2</v>
      </c>
      <c r="AU137" s="18">
        <f>((1+Tabela3[[#This Row],[% Yield]])^(1/(3*Tabela3[[#This Row],[Ref]])))^(12)-1</f>
        <v>3.6115594940458573E-2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13.99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t="11.25" customHeight="1">
      <c r="A138" s="3" t="s">
        <v>815</v>
      </c>
      <c r="B138" s="125" t="s">
        <v>811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8" s="18">
        <f>IF(Tabela3[[#This Row],[Lucro Líquido]]&gt;0,Tabela3[[#This Row],[Lucro Líquido]]/Tabela3[[#This Row],[Patrimônio Líquido]],0)/Tabela3[[#This Row],[Ref]]*4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2.312588816579864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customHeight="1">
      <c r="A139" s="3" t="s">
        <v>815</v>
      </c>
      <c r="B139" s="125" t="s">
        <v>812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9" s="18">
        <f>IF(Tabela3[[#This Row],[Lucro Líquido]]&gt;0,Tabela3[[#This Row],[Lucro Líquido]]/Tabela3[[#This Row],[Patrimônio Líquido]],0)/Tabela3[[#This Row],[Ref]]*4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2.312588816579864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300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t="11.25" customHeight="1">
      <c r="A140" s="4" t="s">
        <v>12</v>
      </c>
      <c r="B140" s="57" t="s">
        <v>453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0" s="19">
        <f>IF(Tabela3[[#This Row],[Lucro Líquido]]&gt;0,Tabela3[[#This Row],[Lucro Líquido]]/Tabela3[[#This Row],[Patrimônio Líquido]],0)/Tabela3[[#This Row],[Ref]]*4</f>
        <v>0.10346566710667232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2.312588816579864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613288296.89999998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1" s="19">
        <f>IF(Tabela3[[#This Row],[Lucro Líquido]]&gt;0,Tabela3[[#This Row],[Lucro Líquido]]/Tabela3[[#This Row],[Patrimônio Líquido]],0)/Tabela3[[#This Row],[Ref]]*4</f>
        <v>0.10346566710667232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2.312588816579864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15.9</v>
      </c>
      <c r="AO141" s="44">
        <f>[Cotação]/[VPA]</f>
        <v>0.31821970856890242</v>
      </c>
      <c r="AP141" s="40">
        <f>IF(Tabela3[[#This Row],[Lucro/Ação]]&gt;0,Tabela3[[#This Row],[Cotação]]/(Tabela3[[#This Row],[Lucro/Ação]]/[Ref]*4),0)</f>
        <v>3.0756067927423723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5.7915400765900377E-2</v>
      </c>
      <c r="AU141" s="19">
        <f>((1+Tabela3[[#This Row],[% Yield]])^(1/(3*Tabela3[[#This Row],[Ref]])))^(12)-1</f>
        <v>7.7956542247458405E-2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15.9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24" t="s">
        <v>12</v>
      </c>
      <c r="B142" s="57" t="s">
        <v>31</v>
      </c>
      <c r="C142" s="15" t="str">
        <f>LEFT([PAPEL],LEN([PAPEL])-(LEN([PAPEL])-4))</f>
        <v>CMIG</v>
      </c>
      <c r="D142" s="15">
        <v>3</v>
      </c>
      <c r="E142" s="6">
        <v>6294208270</v>
      </c>
      <c r="F142" s="8">
        <v>420764708</v>
      </c>
      <c r="G142" s="81">
        <v>0.5</v>
      </c>
      <c r="H142" s="15"/>
      <c r="I142" s="19">
        <v>0.1</v>
      </c>
      <c r="J142" s="19"/>
      <c r="K142" s="88"/>
      <c r="L142" s="88"/>
      <c r="M142" s="13">
        <v>14835981000</v>
      </c>
      <c r="N142" s="13">
        <v>1941871000</v>
      </c>
      <c r="O142" s="13">
        <v>1243252000</v>
      </c>
      <c r="P142" s="90">
        <v>13197926000</v>
      </c>
      <c r="Q142" s="90">
        <v>2271426000</v>
      </c>
      <c r="R142" s="90">
        <f>IF(Tabela3[[#This Row],[Ativo || Passivo]]&gt;0,Tabela3[[#This Row],[Ativo || Passivo]]-Tabela3[[#This Row],[Patrimônio Líquido]],0)</f>
        <v>1638055000</v>
      </c>
      <c r="S142" s="128">
        <f>Tabela3[[#This Row],[Cotação]]*Tabela3[[#This Row],[Total Ações]]</f>
        <v>16742593998.200001</v>
      </c>
      <c r="T142" s="131">
        <f>IF(Tabela3[[#This Row],[Passivo Circulante]]&gt;0,Tabela3[[#This Row],[Ativo Circulante]]/Tabela3[[#This Row],[Passivo Circulante]],0)</f>
        <v>1.5619287159803483</v>
      </c>
      <c r="U142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2" s="49">
        <f>IF(Tabela3[[#This Row],[Lucro Líquido]]&gt;0,Tabela3[[#This Row],[Lucro Líquido]]/Tabela3[[#This Row],[Patrimônio Líquido]],0)/Tabela3[[#This Row],[Ref]]*4</f>
        <v>0.22947302477677176</v>
      </c>
      <c r="W142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2" s="49">
        <f>IF(Tabela3[[#This Row],[Dívida]]&gt;0,Tabela3[[#This Row],[Dívida]]/Tabela3[[#This Row],[Patrimônio Líquido]],0)</f>
        <v>0.12411457679032296</v>
      </c>
      <c r="Y142" s="49">
        <f>SUMPRODUCT(N([Dívida / PL]&gt;0),N(RIGHT([PAPEL],LEN([PAPEL])-(LEN([PAPEL])-1))="3"),[Dívida / PL])/SUMPRODUCT(N([Dívida / PL]&gt;0),N(RIGHT([PAPEL],LEN([PAPEL])-(LEN([PAPEL])-1))="3"))</f>
        <v>2.312588816579864</v>
      </c>
      <c r="Z142" s="13">
        <f>Tabela3[[#This Row],[Capital Social]]*20%</f>
        <v>1258841654</v>
      </c>
      <c r="AA142" s="13">
        <f>IF(([Lucro Líquido]*5%)&gt;[Teto R. Legal],[Teto R. Legal],[Lucro Líquido]*5%)</f>
        <v>113571300</v>
      </c>
      <c r="AB142" s="89">
        <f>IF([Lucro Líquido]&lt;0,0,[Lucro Líquido]-[Reserva Legal])</f>
        <v>2157854700</v>
      </c>
      <c r="AC142" s="89">
        <f>Tabela3[[#This Row],[Lucro Distribuir]]*[%Div]</f>
        <v>1078927350</v>
      </c>
      <c r="AD142" s="56">
        <f>SUMPRODUCT(N([Nome]=Tabela3[[#This Row],[Nome]]),[Ações])</f>
        <v>1258841654</v>
      </c>
      <c r="AE142" s="6">
        <f>[Capital Social]/[Total Ações]</f>
        <v>5</v>
      </c>
      <c r="AF142" s="78">
        <f>Tabela3[[#This Row],[Lucro Líquido]]/Tabela3[[#This Row],[Total Ações]]</f>
        <v>1.8043778522759304</v>
      </c>
      <c r="AG1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2" s="13">
        <f>[Div Base]*[Ações]</f>
        <v>360628797.06391078</v>
      </c>
      <c r="AL142" s="13">
        <f>SUMPRODUCT(N([Nome]=Tabela3[[#This Row],[Nome]]),[Div Base]*[Ações])</f>
        <v>1078927350</v>
      </c>
      <c r="AM142" s="6">
        <f>[Patrimônio Líquido]/[Total Ações]</f>
        <v>10.484182786662062</v>
      </c>
      <c r="AN142" s="48">
        <f>MAX(Tabela3[[#This Row],[Cotação 1]:[Cotação 5]])</f>
        <v>13.3</v>
      </c>
      <c r="AO142" s="44">
        <f>[Cotação]/[VPA]</f>
        <v>1.2685776536555819</v>
      </c>
      <c r="AP142" s="40">
        <f>IF(Tabela3[[#This Row],[Lucro/Ação]]&gt;0,Tabela3[[#This Row],[Cotação]]/(Tabela3[[#This Row],[Lucro/Ação]]/[Ref]*4),0)</f>
        <v>5.5282212577693493</v>
      </c>
      <c r="AQ142" s="78">
        <f>[Lucro Distribuir]/[Total Ações]</f>
        <v>1.7141589596621341</v>
      </c>
      <c r="AR142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2" s="14" t="str">
        <f>IF(AND([% A.A.]&gt;=5%,SUMPRODUCT(N([Nome]=Tabela3[[#This Row],[Nome]]),[PL])&gt;0,[Rentabilidade s/ PL]&gt;=[Rentabilidade s/ PL Média]),"Sim","Não")</f>
        <v>Sim</v>
      </c>
      <c r="AT142" s="42">
        <f>IF([Cotação]&gt;0,Tabela3[[#This Row],[Lucro]]/Tabela3[[#This Row],[Cotação]],0)</f>
        <v>6.4442066152711808E-2</v>
      </c>
      <c r="AU142" s="19">
        <f>((1+Tabela3[[#This Row],[% Yield]])^(1/(3*Tabela3[[#This Row],[Ref]])))^(12)-1</f>
        <v>8.6832722465785217E-2</v>
      </c>
      <c r="AV142" s="14">
        <f>IF([Cotação]&gt;0,($BH$1/Tabela3[[#This Row],[Cotação]]-MOD($BH$1/Tabela3[[#This Row],[Cotação]],100)),)</f>
        <v>0</v>
      </c>
      <c r="AW142" s="17">
        <f>Tabela3[[#This Row],[Ativos]]*[Lucro]</f>
        <v>0</v>
      </c>
      <c r="AX142" s="47">
        <f>SUMPRODUCT(N(Tabela1[Código]=Tabela3[[#This Row],[PAPEL]]),Tabela1[Fechamento])</f>
        <v>13.3</v>
      </c>
      <c r="AY142" s="47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30</v>
      </c>
      <c r="C143" s="82" t="str">
        <f>LEFT([PAPEL],LEN([PAPEL])-(LEN([PAPEL])-4))</f>
        <v>CMIG</v>
      </c>
      <c r="D143" s="15">
        <v>3</v>
      </c>
      <c r="E143" s="6">
        <v>6294208270</v>
      </c>
      <c r="F143" s="8">
        <v>838076946</v>
      </c>
      <c r="G143" s="86">
        <v>0.5</v>
      </c>
      <c r="H143" s="19">
        <v>0.03</v>
      </c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16264234169.68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3" s="49">
        <f>IF(Tabela3[[#This Row],[Lucro Líquido]]&gt;0,Tabela3[[#This Row],[Lucro Líquido]]/Tabela3[[#This Row],[Patrimônio Líquido]],0)/Tabela3[[#This Row],[Ref]]*4</f>
        <v>0.22947302477677176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2.312588816579864</v>
      </c>
      <c r="Z143" s="28">
        <f>Tabela3[[#This Row],[Capital Social]]*20%</f>
        <v>1258841654</v>
      </c>
      <c r="AA143" s="28">
        <f>IF(([Lucro Líquido]*5%)&gt;[Teto R. Legal],[Teto R. Legal],[Lucro Líquido]*5%)</f>
        <v>113571300</v>
      </c>
      <c r="AB143" s="90">
        <f>IF([Lucro Líquido]&lt;0,0,[Lucro Líquido]-[Reserva Legal])</f>
        <v>2157854700</v>
      </c>
      <c r="AC143" s="90">
        <f>Tabela3[[#This Row],[Lucro Distribuir]]*[%Div]</f>
        <v>1078927350</v>
      </c>
      <c r="AD143" s="56">
        <f>SUMPRODUCT(N([Nome]=Tabela3[[#This Row],[Nome]]),[Ações])</f>
        <v>1258841654</v>
      </c>
      <c r="AE143" s="28">
        <f>[Capital Social]/[Total Ações]</f>
        <v>5</v>
      </c>
      <c r="AF143" s="79">
        <f>Tabela3[[#This Row],[Lucro Líquido]]/Tabela3[[#This Row],[Total Ações]]</f>
        <v>1.8043778522759304</v>
      </c>
      <c r="AG1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28">
        <f>[Div Base]*[Ações]</f>
        <v>718298552.93608928</v>
      </c>
      <c r="AL143" s="28">
        <f>SUMPRODUCT(N([Nome]=Tabela3[[#This Row],[Nome]]),[Div Base]*[Ações])</f>
        <v>1078927350</v>
      </c>
      <c r="AM143" s="28">
        <f>[Patrimônio Líquido]/[Total Ações]</f>
        <v>10.484182786662062</v>
      </c>
      <c r="AN143" s="29">
        <f>MAX(Tabela3[[#This Row],[Cotação 1]:[Cotação 5]])</f>
        <v>12.92</v>
      </c>
      <c r="AO143" s="30">
        <f>[Cotação]/[VPA]</f>
        <v>1.232332577836851</v>
      </c>
      <c r="AP143" s="35">
        <f>IF(Tabela3[[#This Row],[Lucro/Ação]]&gt;0,Tabela3[[#This Row],[Cotação]]/(Tabela3[[#This Row],[Lucro/Ação]]/[Ref]*4),0)</f>
        <v>5.3702720789759386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25" t="str">
        <f>IF(AND([% A.A.]&gt;=5%,SUMPRODUCT(N([Nome]=Tabela3[[#This Row],[Nome]]),[PL])&gt;0,[Rentabilidade s/ PL]&gt;=[Rentabilidade s/ PL Média]),"Sim","Não")</f>
        <v>Sim</v>
      </c>
      <c r="AT143" s="27">
        <f>IF([Cotação]&gt;0,Tabela3[[#This Row],[Lucro]]/Tabela3[[#This Row],[Cotação]],0)</f>
        <v>6.6337421039556269E-2</v>
      </c>
      <c r="AU143" s="49">
        <f>((1+Tabela3[[#This Row],[% Yield]])^(1/(3*Tabela3[[#This Row],[Ref]])))^(12)-1</f>
        <v>8.941378642807396E-2</v>
      </c>
      <c r="AV143" s="14">
        <f>IF([Cotação]&gt;0,($BH$1/Tabela3[[#This Row],[Cotação]]-MOD($BH$1/Tabela3[[#This Row],[Cotação]],100)),)</f>
        <v>0</v>
      </c>
      <c r="AW143" s="7">
        <f>Tabela3[[#This Row],[Ativos]]*[Lucro]</f>
        <v>0</v>
      </c>
      <c r="AX143" s="5">
        <f>SUMPRODUCT(N(Tabela1[Código]=Tabela3[[#This Row],[PAPEL]]),Tabela1[Fechamento])</f>
        <v>12.92</v>
      </c>
      <c r="AY143" s="5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t="11.25" customHeight="1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3780653319.4400001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4" s="19">
        <f>IF(Tabela3[[#This Row],[Lucro Líquido]]&gt;0,Tabela3[[#This Row],[Lucro Líquido]]/Tabela3[[#This Row],[Patrimônio Líquido]],0)/Tabela3[[#This Row],[Ref]]*4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2.312588816579864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48.56</v>
      </c>
      <c r="AO144" s="44">
        <f>[Cotação]/[VPA]</f>
        <v>2.4137124459259041</v>
      </c>
      <c r="AP144" s="40">
        <f>IF(Tabela3[[#This Row],[Lucro/Ação]]&gt;0,Tabela3[[#This Row],[Cotação]]/(Tabela3[[#This Row],[Lucro/Ação]]/[Ref]*4),0)</f>
        <v>24.148888062035311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9.8348213545026916E-3</v>
      </c>
      <c r="AU144" s="19">
        <f>((1+Tabela3[[#This Row],[% Yield]])^(1/(3*Tabela3[[#This Row],[Ref]])))^(12)-1</f>
        <v>9.8348213545027541E-3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48.56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t="11.25" customHeight="1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2869746321.1399999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5" s="19">
        <f>IF(Tabela3[[#This Row],[Lucro Líquido]]&gt;0,Tabela3[[#This Row],[Lucro Líquido]]/Tabela3[[#This Row],[Patrimônio Líquido]],0)/Tabela3[[#This Row],[Ref]]*4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2.312588816579864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36.86</v>
      </c>
      <c r="AO145" s="53">
        <f>[Cotação]/[VPA]</f>
        <v>1.8321548755524881</v>
      </c>
      <c r="AP145" s="37">
        <f>IF(Tabela3[[#This Row],[Lucro/Ação]]&gt;0,Tabela3[[#This Row],[Cotação]]/(Tabela3[[#This Row],[Lucro/Ação]]/[Ref]*4),0)</f>
        <v>18.330478047088583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A.A.]&gt;=5%,SUMPRODUCT(N([Nome]=Tabela3[[#This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1.2956563347114779E-2</v>
      </c>
      <c r="AU145" s="18">
        <f>((1+Tabela3[[#This Row],[% Yield]])^(1/(3*Tabela3[[#This Row],[Ref]])))^(12)-1</f>
        <v>1.2956563347115813E-2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36.86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t="11.25" customHeight="1">
      <c r="A146" s="3" t="s">
        <v>12</v>
      </c>
      <c r="B146" s="58" t="s">
        <v>472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6" s="19">
        <f>IF(Tabela3[[#This Row],[Lucro Líquido]]&gt;0,Tabela3[[#This Row],[Lucro Líquido]]/Tabela3[[#This Row],[Patrimônio Líquido]],0)/Tabela3[[#This Row],[Ref]]*4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2.312588816579864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t="11.25" customHeight="1">
      <c r="A147" s="3" t="s">
        <v>336</v>
      </c>
      <c r="B147" s="57" t="s">
        <v>711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7" s="19">
        <f>IF(Tabela3[[#This Row],[Lucro Líquido]]&gt;0,Tabela3[[#This Row],[Lucro Líquido]]/Tabela3[[#This Row],[Patrimônio Líquido]],0)/Tabela3[[#This Row],[Ref]]*4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2.312588816579864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t="11.25" customHeight="1">
      <c r="A148" s="3" t="s">
        <v>336</v>
      </c>
      <c r="B148" s="57" t="s">
        <v>712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8" s="19">
        <f>IF(Tabela3[[#This Row],[Lucro Líquido]]&gt;0,Tabela3[[#This Row],[Lucro Líquido]]/Tabela3[[#This Row],[Patrimônio Líquido]],0)/Tabela3[[#This Row],[Ref]]*4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2.312588816579864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t="11.25" customHeight="1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15704315923.200001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9" s="49">
        <f>IF(Tabela3[[#This Row],[Lucro Líquido]]&gt;0,Tabela3[[#This Row],[Lucro Líquido]]/Tabela3[[#This Row],[Patrimônio Líquido]],0)/Tabela3[[#This Row],[Ref]]*4</f>
        <v>0.12547575402818137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2.312588816579864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16.32</v>
      </c>
      <c r="AO149" s="30">
        <f>[Cotação]/[VPA]</f>
        <v>2.3219304048777301</v>
      </c>
      <c r="AP149" s="35">
        <f>IF(Tabela3[[#This Row],[Lucro/Ação]]&gt;0,Tabela3[[#This Row],[Cotação]]/(Tabela3[[#This Row],[Lucro/Ação]]/[Ref]*4),0)</f>
        <v>18.505012564867577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A.A.]&gt;=5%,SUMPRODUCT(N([Nome]=Tabela3[[#This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9.6257702811927085E-3</v>
      </c>
      <c r="AU149" s="49">
        <f>((1+Tabela3[[#This Row],[% Yield]])^(1/(3*Tabela3[[#This Row],[Ref]])))^(12)-1</f>
        <v>1.2854906607984162E-2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16.32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4920323642.5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0" s="49">
        <f>IF(Tabela3[[#This Row],[Lucro Líquido]]&gt;0,Tabela3[[#This Row],[Lucro Líquido]]/Tabela3[[#This Row],[Patrimônio Líquido]],0)/Tabela3[[#This Row],[Ref]]*4</f>
        <v>9.3386522714945061E-2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2.312588816579864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17.98</v>
      </c>
      <c r="AO150" s="30">
        <f>[Cotação]/[VPA]</f>
        <v>0.38355003205784055</v>
      </c>
      <c r="AP150" s="35">
        <f>IF(Tabela3[[#This Row],[Lucro/Ação]]&gt;0,Tabela3[[#This Row],[Cotação]]/(Tabela3[[#This Row],[Lucro/Ação]]/[Ref]*4),0)</f>
        <v>4.1071240357518883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A.A.]&gt;=5%,SUMPRODUCT(N([Nome]=Tabela3[[#This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4.323418153638716E-2</v>
      </c>
      <c r="AU150" s="49">
        <f>((1+Tabela3[[#This Row],[% Yield]])^(1/(3*Tabela3[[#This Row],[Ref]])))^(12)-1</f>
        <v>5.8057031432594775E-2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17.98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1" s="135">
        <f>IF(Tabela3[[#This Row],[Lucro Líquido]]&gt;0,Tabela3[[#This Row],[Lucro Líquido]]/Tabela3[[#This Row],[Patrimônio Líquido]],0)/Tabela3[[#This Row],[Ref]]*4</f>
        <v>9.3386522714945061E-2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2.312588816579864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t="11.25" customHeight="1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6835911267.5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2" s="18">
        <f>IF(Tabela3[[#This Row],[Lucro Líquido]]&gt;0,Tabela3[[#This Row],[Lucro Líquido]]/Tabela3[[#This Row],[Patrimônio Líquido]],0)/Tabela3[[#This Row],[Ref]]*4</f>
        <v>9.3386522714945061E-2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2.312588816579864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24.98</v>
      </c>
      <c r="AO152" s="44">
        <f>[Cotação]/[VPA]</f>
        <v>0.53287429370438577</v>
      </c>
      <c r="AP152" s="40">
        <f>IF(Tabela3[[#This Row],[Lucro/Ação]]&gt;0,Tabela3[[#This Row],[Cotação]]/(Tabela3[[#This Row],[Lucro/Ação]]/[Ref]*4),0)</f>
        <v>5.7061155958332686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3.111891849576626E-2</v>
      </c>
      <c r="AU152" s="19">
        <f>((1+Tabela3[[#This Row],[% Yield]])^(1/(3*Tabela3[[#This Row],[Ref]])))^(12)-1</f>
        <v>4.1705619283910256E-2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24.98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t="11.25" customHeight="1">
      <c r="A153" s="3" t="s">
        <v>1060</v>
      </c>
      <c r="B153" s="57" t="s">
        <v>1069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155502229.02000001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3" s="18">
        <f>IF(Tabela3[[#This Row],[Lucro Líquido]]&gt;0,Tabela3[[#This Row],[Lucro Líquido]]/Tabela3[[#This Row],[Patrimônio Líquido]],0)/Tabela3[[#This Row],[Ref]]*4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2.312588816579864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3.21</v>
      </c>
      <c r="AO153" s="53">
        <f>[Cotação]/[VPA]</f>
        <v>0.42365292294531276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200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3.21</v>
      </c>
      <c r="BB153" s="7">
        <f>SUMPRODUCT(N(Tabela17683[Código]=Tabela3[[#This Row],[PAPEL]]),Tabela17683[Fechamento])</f>
        <v>0</v>
      </c>
    </row>
    <row r="154" spans="1:54" ht="11.25" customHeight="1">
      <c r="A154" s="4" t="s">
        <v>740</v>
      </c>
      <c r="B154" s="57" t="s">
        <v>738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416748773.36000001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4" s="19">
        <f>IF(Tabela3[[#This Row],[Lucro Líquido]]&gt;0,Tabela3[[#This Row],[Lucro Líquido]]/Tabela3[[#This Row],[Patrimônio Líquido]],0)/Tabela3[[#This Row],[Ref]]*4</f>
        <v>0.12852470671049201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2.312588816579864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14.23</v>
      </c>
      <c r="AO154" s="44">
        <f>[Cotação]/[VPA]</f>
        <v>1.46191220208299</v>
      </c>
      <c r="AP154" s="40">
        <f>IF(Tabela3[[#This Row],[Lucro/Ação]]&gt;0,Tabela3[[#This Row],[Cotação]]/(Tabela3[[#This Row],[Lucro/Ação]]/[Ref]*4),0)</f>
        <v>11.37456166599949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A.A.]&gt;=5%,SUMPRODUCT(N([Nome]=Tabela3[[#This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2.1923921758270872E-2</v>
      </c>
      <c r="AU154" s="42">
        <f>((1+Tabela3[[#This Row],[% Yield]])^(1/(3*Tabela3[[#This Row],[Ref]])))^(12)-1</f>
        <v>2.9338192951300579E-2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14.23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 ht="11.25" customHeight="1">
      <c r="A155" s="4" t="s">
        <v>355</v>
      </c>
      <c r="B155" s="57" t="s">
        <v>356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429409566.17999995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5" s="19">
        <f>IF(Tabela3[[#This Row],[Lucro Líquido]]&gt;0,Tabela3[[#This Row],[Lucro Líquido]]/Tabela3[[#This Row],[Patrimônio Líquido]],0)/Tabela3[[#This Row],[Ref]]*4</f>
        <v>7.1588208777044582E-2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2.312588816579864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4.0599999999999996</v>
      </c>
      <c r="AO155" s="44">
        <f>[Cotação]/[VPA]</f>
        <v>0.58363912249488603</v>
      </c>
      <c r="AP155" s="40">
        <f>IF(Tabela3[[#This Row],[Lucro/Ação]]&gt;0,Tabela3[[#This Row],[Cotação]]/(Tabela3[[#This Row],[Lucro/Ação]]/[Ref]*4),0)</f>
        <v>8.1527269988355311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200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4.0599999999999996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>
      <c r="A156" s="4" t="s">
        <v>355</v>
      </c>
      <c r="B156" s="57" t="s">
        <v>357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400852772.37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6" s="19">
        <f>IF(Tabela3[[#This Row],[Lucro Líquido]]&gt;0,Tabela3[[#This Row],[Lucro Líquido]]/Tabela3[[#This Row],[Patrimônio Líquido]],0)/Tabela3[[#This Row],[Ref]]*4</f>
        <v>7.1588208777044582E-2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2.312588816579864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3.79</v>
      </c>
      <c r="AO156" s="44">
        <f>[Cotação]/[VPA]</f>
        <v>0.54482568331419168</v>
      </c>
      <c r="AP156" s="40">
        <f>IF(Tabela3[[#This Row],[Lucro/Ação]]&gt;0,Tabela3[[#This Row],[Cotação]]/(Tabela3[[#This Row],[Lucro/Ação]]/[Ref]*4),0)</f>
        <v>7.6105505728045975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6.6059166420228993E-2</v>
      </c>
      <c r="AU156" s="19">
        <f>((1+Tabela3[[#This Row],[% Yield]])^(1/(3*Tabela3[[#This Row],[Ref]])))^(12)-1</f>
        <v>8.9034767894595745E-2</v>
      </c>
      <c r="AV156" s="14">
        <f>IF([Cotação]&gt;0,($BH$1/Tabela3[[#This Row],[Cotação]]-MOD($BH$1/Tabela3[[#This Row],[Cotação]],100)),)</f>
        <v>200</v>
      </c>
      <c r="AW156" s="17">
        <f>Tabela3[[#This Row],[Ativos]]*[Lucro]</f>
        <v>50.07284814653358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3.79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t="11.25" customHeight="1">
      <c r="A157" s="3" t="s">
        <v>780</v>
      </c>
      <c r="B157" s="58" t="s">
        <v>779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31486080300.000004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7" s="18">
        <f>IF(Tabela3[[#This Row],[Lucro Líquido]]&gt;0,Tabela3[[#This Row],[Lucro Líquido]]/Tabela3[[#This Row],[Patrimônio Líquido]],0)/Tabela3[[#This Row],[Ref]]*4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2.312588816579864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20.6</v>
      </c>
      <c r="AO157" s="53">
        <f>[Cotação]/[VPA]</f>
        <v>12.902153645301908</v>
      </c>
      <c r="AP157" s="37">
        <f>IF(Tabela3[[#This Row],[Lucro/Ação]]&gt;0,Tabela3[[#This Row],[Cotação]]/(Tabela3[[#This Row],[Lucro/Ação]]/[Ref]*4),0)</f>
        <v>18.583730630438147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1.2779995831999449E-2</v>
      </c>
      <c r="AU157" s="22">
        <f>((1+Tabela3[[#This Row],[% Yield]])^(1/(3*Tabela3[[#This Row],[Ref]])))^(12)-1</f>
        <v>1.2779995832000512E-2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20.6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t="11.25" customHeight="1">
      <c r="A158" s="4" t="s">
        <v>26</v>
      </c>
      <c r="B158" s="57" t="s">
        <v>241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8" s="19">
        <f>IF(Tabela3[[#This Row],[Lucro Líquido]]&gt;0,Tabela3[[#This Row],[Lucro Líquido]]/Tabela3[[#This Row],[Patrimônio Líquido]],0)/Tabela3[[#This Row],[Ref]]*4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2.312588816579864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customHeight="1">
      <c r="A159" s="4" t="s">
        <v>26</v>
      </c>
      <c r="B159" s="57" t="s">
        <v>242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230400000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9" s="19">
        <f>IF(Tabela3[[#This Row],[Lucro Líquido]]&gt;0,Tabela3[[#This Row],[Lucro Líquido]]/Tabela3[[#This Row],[Patrimônio Líquido]],0)/Tabela3[[#This Row],[Ref]]*4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2.312588816579864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</v>
      </c>
      <c r="AO159" s="44">
        <f>[Cotação]/[VPA]</f>
        <v>1.314835845255691</v>
      </c>
      <c r="AP159" s="40">
        <f>IF(Tabela3[[#This Row],[Lucro/Ação]]&gt;0,Tabela3[[#This Row],[Cotação]]/(Tabela3[[#This Row],[Lucro/Ação]]/[Ref]*4),0)</f>
        <v>21.721504666729519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1.093386501736111E-2</v>
      </c>
      <c r="AU159" s="19">
        <f>((1+Tabela3[[#This Row],[% Yield]])^(1/(3*Tabela3[[#This Row],[Ref]])))^(12)-1</f>
        <v>1.0933865017360489E-2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t="11.25" customHeight="1">
      <c r="A160" s="3" t="s">
        <v>260</v>
      </c>
      <c r="B160" s="58" t="s">
        <v>261</v>
      </c>
      <c r="C160" s="83" t="str">
        <f>LEFT([PAPEL],LEN([PAPEL])-(LEN([PAPEL])-4))</f>
        <v>CSAN</v>
      </c>
      <c r="D160" s="16">
        <v>4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>
        <v>16842735000</v>
      </c>
      <c r="N160" s="54">
        <v>585700000</v>
      </c>
      <c r="O160" s="54">
        <v>1591725000</v>
      </c>
      <c r="P160" s="5">
        <v>9736858000</v>
      </c>
      <c r="Q160" s="6">
        <v>234150000</v>
      </c>
      <c r="R160" s="6">
        <f>IF(Tabela3[[#This Row],[Ativo || Passivo]]&gt;0,Tabela3[[#This Row],[Ativo || Passivo]]-Tabela3[[#This Row],[Patrimônio Líquido]],0)</f>
        <v>7105877000</v>
      </c>
      <c r="S160" s="6">
        <f>Tabela3[[#This Row],[Cotação]]*Tabela3[[#This Row],[Total Ações]]</f>
        <v>13841215858.470001</v>
      </c>
      <c r="T160" s="132">
        <f>IF(Tabela3[[#This Row],[Passivo Circulante]]&gt;0,Tabela3[[#This Row],[Ativo Circulante]]/Tabela3[[#This Row],[Passivo Circulante]],0)</f>
        <v>0.36796557194238955</v>
      </c>
      <c r="U16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0" s="19">
        <f>IF(Tabela3[[#This Row],[Lucro Líquido]]&gt;0,Tabela3[[#This Row],[Lucro Líquido]]/Tabela3[[#This Row],[Patrimônio Líquido]],0)/Tabela3[[#This Row],[Ref]]*4</f>
        <v>2.4047798581431506E-2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0" s="19">
        <f>IF(Tabela3[[#This Row],[Dívida]]&gt;0,Tabela3[[#This Row],[Dívida]]/Tabela3[[#This Row],[Patrimônio Líquido]],0)</f>
        <v>0.72979158163752622</v>
      </c>
      <c r="Y160" s="19">
        <f>SUMPRODUCT(N([Dívida / PL]&gt;0),N(RIGHT([PAPEL],LEN([PAPEL])-(LEN([PAPEL])-1))="3"),[Dívida / PL])/SUMPRODUCT(N([Dívida / PL]&gt;0),N(RIGHT([PAPEL],LEN([PAPEL])-(LEN([PAPEL])-1))="3"))</f>
        <v>2.312588816579864</v>
      </c>
      <c r="Z160" s="5">
        <f>Tabela3[[#This Row],[Capital Social]]*20%</f>
        <v>938364458.22600007</v>
      </c>
      <c r="AA160" s="5">
        <f>IF(([Lucro Líquido]*5%)&gt;[Teto R. Legal],[Teto R. Legal],[Lucro Líquido]*5%)</f>
        <v>11707500</v>
      </c>
      <c r="AB160" s="5">
        <f>IF([Lucro Líquido]&lt;0,0,[Lucro Líquido]-[Reserva Legal])</f>
        <v>222442500</v>
      </c>
      <c r="AC160" s="5">
        <f>Tabela3[[#This Row],[Lucro Distribuir]]*[%Div]</f>
        <v>55610625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0.57500429018522337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0" s="5">
        <f>[Div Base]*[Ações]</f>
        <v>55610625.000000007</v>
      </c>
      <c r="AL160" s="5">
        <f>SUMPRODUCT(N([Nome]=Tabela3[[#This Row],[Nome]]),[Div Base]*[Ações])</f>
        <v>55610625.000000007</v>
      </c>
      <c r="AM160" s="5">
        <f>[Patrimônio Líquido]/[Total Ações]</f>
        <v>23.910890979817697</v>
      </c>
      <c r="AN160" s="52">
        <f>MAX(Tabela3[[#This Row],[Cotação 1]:[Cotação 5]])</f>
        <v>33.99</v>
      </c>
      <c r="AO160" s="53">
        <f>[Cotação]/[VPA]</f>
        <v>1.4215279568080381</v>
      </c>
      <c r="AP160" s="37">
        <f>IF(Tabela3[[#This Row],[Lucro/Ação]]&gt;0,Tabela3[[#This Row],[Cotação]]/(Tabela3[[#This Row],[Lucro/Ação]]/[Ref]*4),0)</f>
        <v>59.112602427802699</v>
      </c>
      <c r="AQ160" s="77">
        <f>[Lucro Distribuir]/[Total Ações]</f>
        <v>0.54625407567596229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0" s="16" t="str">
        <f>IF(AND([% A.A.]&gt;=5%,SUMPRODUCT(N([Nome]=Tabela3[[#This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4.0177557787287608E-3</v>
      </c>
      <c r="AU160" s="18">
        <f>((1+Tabela3[[#This Row],[% Yield]])^(1/(3*Tabela3[[#This Row],[Ref]])))^(12)-1</f>
        <v>4.0177557787299811E-3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33.99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customHeight="1">
      <c r="A161" s="4" t="s">
        <v>37</v>
      </c>
      <c r="B161" s="57" t="s">
        <v>176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3831098604.2999997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1" s="19">
        <f>IF(Tabela3[[#This Row],[Lucro Líquido]]&gt;0,Tabela3[[#This Row],[Lucro Líquido]]/Tabela3[[#This Row],[Patrimônio Líquido]],0)/Tabela3[[#This Row],[Ref]]*4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2.312588816579864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32.01</v>
      </c>
      <c r="AO161" s="44">
        <f>[Cotação]/[VPA]</f>
        <v>0.71778919205172442</v>
      </c>
      <c r="AP161" s="40">
        <f>IF(Tabela3[[#This Row],[Lucro/Ação]]&gt;0,Tabela3[[#This Row],[Cotação]]/(Tabela3[[#This Row],[Lucro/Ação]]/[Ref]*4),0)</f>
        <v>9.1261177581914978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2.6024209449502528E-2</v>
      </c>
      <c r="AU161" s="19">
        <f>((1+Tabela3[[#This Row],[% Yield]])^(1/(3*Tabela3[[#This Row],[Ref]])))^(12)-1</f>
        <v>2.6024209449502012E-2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32.01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t="11.25" customHeight="1">
      <c r="A162" s="4" t="s">
        <v>232</v>
      </c>
      <c r="B162" s="57" t="s">
        <v>587</v>
      </c>
      <c r="C162" s="15" t="str">
        <f>LEFT([PAPEL],LEN([PAPEL])-(LEN([PAPEL])-4))</f>
        <v>CSNA</v>
      </c>
      <c r="D162" s="15">
        <v>4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>
        <v>48689176000</v>
      </c>
      <c r="N162" s="55">
        <v>5054174000</v>
      </c>
      <c r="O162" s="55">
        <v>6503789000</v>
      </c>
      <c r="P162" s="92">
        <v>8096570000</v>
      </c>
      <c r="Q162" s="93">
        <v>509025000</v>
      </c>
      <c r="R162" s="93">
        <f>IF(Tabela3[[#This Row],[Ativo || Passivo]]&gt;0,Tabela3[[#This Row],[Ativo || Passivo]]-Tabela3[[#This Row],[Patrimônio Líquido]],0)</f>
        <v>40592606000</v>
      </c>
      <c r="S162" s="93">
        <f>Tabela3[[#This Row],[Cotação]]*Tabela3[[#This Row],[Total Ações]]</f>
        <v>13398745292.519999</v>
      </c>
      <c r="T162" s="40">
        <f>IF(Tabela3[[#This Row],[Passivo Circulante]]&gt;0,Tabela3[[#This Row],[Ativo Circulante]]/Tabela3[[#This Row],[Passivo Circulante]],0)</f>
        <v>0.77711223411460617</v>
      </c>
      <c r="U16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2" s="19">
        <f>IF(Tabela3[[#This Row],[Lucro Líquido]]&gt;0,Tabela3[[#This Row],[Lucro Líquido]]/Tabela3[[#This Row],[Patrimônio Líquido]],0)/Tabela3[[#This Row],[Ref]]*4</f>
        <v>6.2869214988569233E-2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2" s="19">
        <f>IF(Tabela3[[#This Row],[Dívida]]&gt;0,Tabela3[[#This Row],[Dívida]]/Tabela3[[#This Row],[Patrimônio Líquido]],0)</f>
        <v>5.0135558637793531</v>
      </c>
      <c r="Y162" s="19">
        <f>SUMPRODUCT(N([Dívida / PL]&gt;0),N(RIGHT([PAPEL],LEN([PAPEL])-(LEN([PAPEL])-1))="3"),[Dívida / PL])/SUMPRODUCT(N([Dívida / PL]&gt;0),N(RIGHT([PAPEL],LEN([PAPEL])-(LEN([PAPEL])-1))="3"))</f>
        <v>2.312588816579864</v>
      </c>
      <c r="Z162" s="13">
        <f>Tabela3[[#This Row],[Capital Social]]*20%</f>
        <v>908000000</v>
      </c>
      <c r="AA162" s="13">
        <f>IF(([Lucro Líquido]*5%)&gt;[Teto R. Legal],[Teto R. Legal],[Lucro Líquido]*5%)</f>
        <v>25451250</v>
      </c>
      <c r="AB162" s="13">
        <f>IF([Lucro Líquido]&lt;0,0,[Lucro Líquido]-[Reserva Legal])</f>
        <v>483573750</v>
      </c>
      <c r="AC162" s="13">
        <f>Tabela3[[#This Row],[Lucro Distribuir]]*[%Div]</f>
        <v>120893437.5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0.34913267234145517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162" s="13">
        <f>[Div Base]*[Ações]</f>
        <v>120893437.5</v>
      </c>
      <c r="AL162" s="13">
        <f>SUMPRODUCT(N([Nome]=Tabela3[[#This Row],[Nome]]),[Div Base]*[Ações])</f>
        <v>120893437.5</v>
      </c>
      <c r="AM162" s="6">
        <f>[Patrimônio Líquido]/[Total Ações]</f>
        <v>5.553316872255107</v>
      </c>
      <c r="AN162" s="48">
        <f>MAX(Tabela3[[#This Row],[Cotação 1]:[Cotação 5]])</f>
        <v>9.19</v>
      </c>
      <c r="AO162" s="44">
        <f>[Cotação]/[VPA]</f>
        <v>1.6548668501007215</v>
      </c>
      <c r="AP162" s="40">
        <f>IF(Tabela3[[#This Row],[Lucro/Ação]]&gt;0,Tabela3[[#This Row],[Cotação]]/(Tabela3[[#This Row],[Lucro/Ação]]/[Ref]*4),0)</f>
        <v>26.322371774510092</v>
      </c>
      <c r="AQ162" s="78">
        <f>[Lucro Distribuir]/[Total Ações]</f>
        <v>0.33167603872438239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9.0227431644282485E-3</v>
      </c>
      <c r="AU162" s="42">
        <f>((1+Tabela3[[#This Row],[% Yield]])^(1/(3*Tabela3[[#This Row],[Ref]])))^(12)-1</f>
        <v>9.0227431644263056E-3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9.19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t="11.25" customHeight="1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1596703266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3" s="19">
        <f>IF(Tabela3[[#This Row],[Lucro Líquido]]&gt;0,Tabela3[[#This Row],[Lucro Líquido]]/Tabela3[[#This Row],[Patrimônio Líquido]],0)/Tabela3[[#This Row],[Ref]]*4</f>
        <v>0.23297954060064519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2.312588816579864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9.5</v>
      </c>
      <c r="AO163" s="44">
        <f>[Cotação]/[VPA]</f>
        <v>1.8046065757753509</v>
      </c>
      <c r="AP163" s="40">
        <f>IF(Tabela3[[#This Row],[Lucro/Ação]]&gt;0,Tabela3[[#This Row],[Cotação]]/(Tabela3[[#This Row],[Lucro/Ação]]/[Ref]*4),0)</f>
        <v>7.745772745207109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2.22809085147334E-2</v>
      </c>
      <c r="AU163" s="19">
        <f>((1+Tabela3[[#This Row],[% Yield]])^(1/(3*Tabela3[[#This Row],[Ref]])))^(12)-1</f>
        <v>2.9817656555644501E-2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9.5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t="11.25" customHeight="1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4" s="19">
        <f>IF(Tabela3[[#This Row],[Lucro Líquido]]&gt;0,Tabela3[[#This Row],[Lucro Líquido]]/Tabela3[[#This Row],[Patrimônio Líquido]],0)/Tabela3[[#This Row],[Ref]]*4</f>
        <v>0.23297954060064519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2.312588816579864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t="11.25" customHeight="1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1512666252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5" s="19">
        <f>IF(Tabela3[[#This Row],[Lucro Líquido]]&gt;0,Tabela3[[#This Row],[Lucro Líquido]]/Tabela3[[#This Row],[Patrimônio Líquido]],0)/Tabela3[[#This Row],[Ref]]*4</f>
        <v>0.23297954060064519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2.312588816579864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</v>
      </c>
      <c r="AO165" s="44">
        <f>[Cotação]/[VPA]</f>
        <v>1.7096272823134904</v>
      </c>
      <c r="AP165" s="40">
        <f>IF(Tabela3[[#This Row],[Lucro/Ação]]&gt;0,Tabela3[[#This Row],[Cotação]]/(Tabela3[[#This Row],[Lucro/Ação]]/[Ref]*4),0)</f>
        <v>7.3381004954593667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2.5870610477547143E-2</v>
      </c>
      <c r="AU165" s="19">
        <f>((1+Tabela3[[#This Row],[% Yield]])^(1/(3*Tabela3[[#This Row],[Ref]])))^(12)-1</f>
        <v>3.4642032113114229E-2</v>
      </c>
      <c r="AV165" s="14">
        <f>IF([Cotação]&gt;0,($BH$1/Tabela3[[#This Row],[Cotação]]-MOD($BH$1/Tabela3[[#This Row],[Cotação]],100)),)</f>
        <v>100</v>
      </c>
      <c r="AW165" s="17">
        <f>Tabela3[[#This Row],[Ativos]]*[Lucro]</f>
        <v>23.28354942979243</v>
      </c>
      <c r="AX165" s="5">
        <f>SUMPRODUCT(N(Tabela1[Código]=Tabela3[[#This Row],[PAPEL]]),Tabela1[Fechamento])</f>
        <v>9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t="11.25" customHeight="1">
      <c r="A166" s="3" t="s">
        <v>1173</v>
      </c>
      <c r="B166" s="57" t="s">
        <v>1157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6797796324.1999998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6" s="18">
        <f>IF(Tabela3[[#This Row],[Lucro Líquido]]&gt;0,Tabela3[[#This Row],[Lucro Líquido]]/Tabela3[[#This Row],[Patrimônio Líquido]],0)/Tabela3[[#This Row],[Ref]]*4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2.312588816579864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19.66</v>
      </c>
      <c r="AO166" s="53">
        <f>[Cotação]/[VPA]</f>
        <v>15.511300277924828</v>
      </c>
      <c r="AP166" s="37">
        <f>IF(Tabela3[[#This Row],[Lucro/Ação]]&gt;0,Tabela3[[#This Row],[Cotação]]/(Tabela3[[#This Row],[Lucro/Ação]]/[Ref]*4),0)</f>
        <v>66.477564608779844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1.7863169431498162E-2</v>
      </c>
      <c r="AU166" s="22">
        <f>((1+Tabela3[[#This Row],[% Yield]])^(1/(3*Tabela3[[#This Row],[Ref]])))^(12)-1</f>
        <v>1.7863169431499237E-2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19.66</v>
      </c>
    </row>
    <row r="167" spans="1:54" ht="11.25" customHeight="1">
      <c r="A167" s="3" t="s">
        <v>1173</v>
      </c>
      <c r="B167" s="57" t="s">
        <v>1158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2005453646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7" s="18">
        <f>IF(Tabela3[[#This Row],[Lucro Líquido]]&gt;0,Tabela3[[#This Row],[Lucro Líquido]]/Tabela3[[#This Row],[Patrimônio Líquido]],0)/Tabela3[[#This Row],[Ref]]*4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2.312588816579864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5.8</v>
      </c>
      <c r="AO167" s="53">
        <f>[Cotação]/[VPA]</f>
        <v>4.5760702752779245</v>
      </c>
      <c r="AP167" s="37">
        <f>IF(Tabela3[[#This Row],[Lucro/Ação]]&gt;0,Tabela3[[#This Row],[Cotação]]/(Tabela3[[#This Row],[Lucro/Ação]]/[Ref]*4),0)</f>
        <v>19.611895968002191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1.210999693183634E-2</v>
      </c>
      <c r="AU167" s="22">
        <f>((1+Tabela3[[#This Row],[% Yield]])^(1/(3*Tabela3[[#This Row],[Ref]])))^(12)-1</f>
        <v>1.2109996931835898E-2</v>
      </c>
      <c r="AV167" s="10">
        <f>IF([Cotação]&gt;0,($BH$1/Tabela3[[#This Row],[Cotação]]-MOD($BH$1/Tabela3[[#This Row],[Cotação]],100)),)</f>
        <v>100</v>
      </c>
      <c r="AW167" s="7">
        <f>Tabela3[[#This Row],[Ativos]]*[Lucro]</f>
        <v>7.0237982204650775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5.8</v>
      </c>
    </row>
    <row r="168" spans="1:54" ht="11.25" customHeight="1">
      <c r="A168" s="3" t="s">
        <v>1173</v>
      </c>
      <c r="B168" s="57" t="s">
        <v>1159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1189441472.8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8" s="18">
        <f>IF(Tabela3[[#This Row],[Lucro Líquido]]&gt;0,Tabela3[[#This Row],[Lucro Líquido]]/Tabela3[[#This Row],[Patrimônio Líquido]],0)/Tabela3[[#This Row],[Ref]]*4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2.312588816579864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3.44</v>
      </c>
      <c r="AO168" s="53">
        <f>[Cotação]/[VPA]</f>
        <v>2.7140830598200107</v>
      </c>
      <c r="AP168" s="37">
        <f>IF(Tabela3[[#This Row],[Lucro/Ação]]&gt;0,Tabela3[[#This Row],[Cotação]]/(Tabela3[[#This Row],[Lucro/Ação]]/[Ref]*4),0)</f>
        <v>11.631883125849576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2.0418018082747319E-2</v>
      </c>
      <c r="AU168" s="22">
        <f>((1+Tabela3[[#This Row],[% Yield]])^(1/(3*Tabela3[[#This Row],[Ref]])))^(12)-1</f>
        <v>2.0418018082745792E-2</v>
      </c>
      <c r="AV168" s="10">
        <f>IF([Cotação]&gt;0,($BH$1/Tabela3[[#This Row],[Cotação]]-MOD($BH$1/Tabela3[[#This Row],[Cotação]],100)),)</f>
        <v>200</v>
      </c>
      <c r="AW168" s="7">
        <f>Tabela3[[#This Row],[Ativos]]*[Lucro]</f>
        <v>14.047596440930155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3.44</v>
      </c>
    </row>
    <row r="169" spans="1:54" ht="11.25" customHeight="1">
      <c r="A169" s="4" t="s">
        <v>366</v>
      </c>
      <c r="B169" s="57" t="s">
        <v>368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6546321751.2699995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9" s="19">
        <f>IF(Tabela3[[#This Row],[Lucro Líquido]]&gt;0,Tabela3[[#This Row],[Lucro Líquido]]/Tabela3[[#This Row],[Patrimônio Líquido]],0)/Tabela3[[#This Row],[Ref]]*4</f>
        <v>0.21616468796241126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2.312588816579864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25.13</v>
      </c>
      <c r="AO169" s="44">
        <f>[Cotação]/[VPA]</f>
        <v>4.0088414009005664</v>
      </c>
      <c r="AP169" s="40">
        <f>IF(Tabela3[[#This Row],[Lucro/Ação]]&gt;0,Tabela3[[#This Row],[Cotação]]/(Tabela3[[#This Row],[Lucro/Ação]]/[Ref]*4),0)</f>
        <v>18.545311163855132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A.A.]&gt;=5%,SUMPRODUCT(N([Nome]=Tabela3[[#This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9.6048536703534065E-3</v>
      </c>
      <c r="AU169" s="19">
        <f>((1+Tabela3[[#This Row],[% Yield]])^(1/(3*Tabela3[[#This Row],[Ref]])))^(12)-1</f>
        <v>1.2826928691955564E-2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25.13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t="11.25" customHeight="1">
      <c r="A170" s="3" t="s">
        <v>889</v>
      </c>
      <c r="B170" s="58" t="s">
        <v>966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0" s="18">
        <f>IF(Tabela3[[#This Row],[Lucro Líquido]]&gt;0,Tabela3[[#This Row],[Lucro Líquido]]/Tabela3[[#This Row],[Patrimônio Líquido]],0)/Tabela3[[#This Row],[Ref]]*4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2.312588816579864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A.A.]&gt;=5%,SUMPRODUCT(N([Nome]=Tabela3[[#This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400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 ht="11.25" customHeight="1">
      <c r="A171" s="3" t="s">
        <v>889</v>
      </c>
      <c r="B171" s="58" t="s">
        <v>967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9796179.9600000009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1" s="18">
        <f>IF(Tabela3[[#This Row],[Lucro Líquido]]&gt;0,Tabela3[[#This Row],[Lucro Líquido]]/Tabela3[[#This Row],[Patrimônio Líquido]],0)/Tabela3[[#This Row],[Ref]]*4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2.312588816579864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0.68</v>
      </c>
      <c r="AO171" s="53">
        <f>[Cotação]/[VPA]</f>
        <v>2.7845878226264928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1300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0.68</v>
      </c>
      <c r="BB171" s="7">
        <f>SUMPRODUCT(N(Tabela17683[Código]=Tabela3[[#This Row],[PAPEL]]),Tabela17683[Fechamento])</f>
        <v>0</v>
      </c>
    </row>
    <row r="172" spans="1:54" ht="11.25" customHeight="1">
      <c r="A172" s="3" t="s">
        <v>889</v>
      </c>
      <c r="B172" s="58" t="s">
        <v>947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291659070.63999999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2" s="18">
        <f>IF(Tabela3[[#This Row],[Lucro Líquido]]&gt;0,Tabela3[[#This Row],[Lucro Líquido]]/Tabela3[[#This Row],[Patrimônio Líquido]],0)/Tabela3[[#This Row],[Ref]]*4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2.312588816579864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2.38</v>
      </c>
      <c r="AO172" s="53">
        <f>[Cotação]/[VPA]</f>
        <v>0.29143524836925239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300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2.38</v>
      </c>
      <c r="BB172" s="7">
        <f>SUMPRODUCT(N(Tabela17683[Código]=Tabela3[[#This Row],[PAPEL]]),Tabela17683[Fechamento])</f>
        <v>0</v>
      </c>
    </row>
    <row r="173" spans="1:54" ht="11.25" customHeight="1">
      <c r="A173" s="3" t="s">
        <v>889</v>
      </c>
      <c r="B173" s="58" t="s">
        <v>948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257346238.80000001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3" s="18">
        <f>IF(Tabela3[[#This Row],[Lucro Líquido]]&gt;0,Tabela3[[#This Row],[Lucro Líquido]]/Tabela3[[#This Row],[Patrimônio Líquido]],0)/Tabela3[[#This Row],[Ref]]*4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2.312588816579864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2.1</v>
      </c>
      <c r="AO173" s="53">
        <f>[Cotação]/[VPA]</f>
        <v>0.25714874856110509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400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2.1</v>
      </c>
      <c r="BB173" s="7">
        <f>SUMPRODUCT(N(Tabela17683[Código]=Tabela3[[#This Row],[PAPEL]]),Tabela17683[Fechamento])</f>
        <v>0</v>
      </c>
    </row>
    <row r="174" spans="1:54">
      <c r="A174" s="3" t="s">
        <v>889</v>
      </c>
      <c r="B174" s="58" t="s">
        <v>951</v>
      </c>
      <c r="C174" s="16" t="str">
        <f>LEFT([PAPEL],LEN([PAPEL])-(LEN([PAPEL])-4))</f>
        <v>CTSA</v>
      </c>
      <c r="D174" s="16">
        <v>3</v>
      </c>
      <c r="E174" s="5">
        <v>101921764.5</v>
      </c>
      <c r="F174" s="56">
        <v>38041111</v>
      </c>
      <c r="G174" s="81">
        <v>0.25</v>
      </c>
      <c r="H174" s="87"/>
      <c r="J174" s="18"/>
      <c r="K174" s="16"/>
      <c r="L174" s="87"/>
      <c r="M174" s="54"/>
      <c r="N174" s="54"/>
      <c r="O174" s="54"/>
      <c r="P174" s="91">
        <v>277004000</v>
      </c>
      <c r="Q174" s="73">
        <v>31976000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195709916.40000001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4" s="18">
        <f>IF(Tabela3[[#This Row],[Lucro Líquido]]&gt;0,Tabela3[[#This Row],[Lucro Líquido]]/Tabela3[[#This Row],[Patrimônio Líquido]],0)/Tabela3[[#This Row],[Ref]]*4</f>
        <v>0.15391354156137335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2.312588816579864</v>
      </c>
      <c r="Z174" s="7">
        <f>Tabela3[[#This Row],[Capital Social]]*20%</f>
        <v>20384352.900000002</v>
      </c>
      <c r="AA174" s="47">
        <f>IF(([Lucro Líquido]*5%)&gt;[Teto R. Legal],[Teto R. Legal],[Lucro Líquido]*5%)</f>
        <v>1598800</v>
      </c>
      <c r="AB174" s="47">
        <f>IF([Lucro Líquido]&lt;0,0,[Lucro Líquido]-[Reserva Legal])</f>
        <v>30377200</v>
      </c>
      <c r="AC174" s="47">
        <f>Tabela3[[#This Row],[Lucro Distribuir]]*[%Div]</f>
        <v>7594300</v>
      </c>
      <c r="AD174" s="56">
        <f>SUMPRODUCT(N([Nome]=Tabela3[[#This Row],[Nome]]),[Ações])</f>
        <v>39299180</v>
      </c>
      <c r="AE174" s="85">
        <f>[Capital Social]/[Total Ações]</f>
        <v>2.5934832355280695</v>
      </c>
      <c r="AF174" s="85">
        <f>Tabela3[[#This Row],[Lucro Líquido]]/Tabela3[[#This Row],[Total Ações]]</f>
        <v>0.8136556538838724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4" s="7">
        <f>[Div Base]*[Ações]</f>
        <v>7122463.3264243798</v>
      </c>
      <c r="AL174" s="7">
        <f>SUMPRODUCT(N([Nome]=Tabela3[[#This Row],[Nome]]),[Div Base]*[Ações])</f>
        <v>7358036.3582738405</v>
      </c>
      <c r="AM174" s="5">
        <f>[Patrimônio Líquido]/[Total Ações]</f>
        <v>7.0485949070693081</v>
      </c>
      <c r="AN174" s="52">
        <f>MAX(Tabela3[[#This Row],[Cotação 1]:[Cotação 5]])</f>
        <v>4.9800000000000004</v>
      </c>
      <c r="AO174" s="53">
        <f>[Cotação]/[VPA]</f>
        <v>0.7065237917141991</v>
      </c>
      <c r="AP174" s="37">
        <f>IF(Tabela3[[#This Row],[Lucro/Ação]]&gt;0,Tabela3[[#This Row],[Cotação]]/(Tabela3[[#This Row],[Lucro/Ação]]/[Ref]*4),0)</f>
        <v>4.5903939610958222</v>
      </c>
      <c r="AQ174" s="85">
        <f>[Lucro Distribuir]/[Total Ações]</f>
        <v>0.77297287118967872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4" s="10" t="str">
        <f>IF(AND([% A.A.]&gt;=5%,SUMPRODUCT(N([Nome]=Tabela3[[#This Row],[Nome]]),[PL])&gt;0,[Rentabilidade s/ PL]&gt;=[Rentabilidade s/ PL Média]),"Sim","Não")</f>
        <v>Sim</v>
      </c>
      <c r="AT174" s="22">
        <f>IF([Cotação]&gt;0,Tabela3[[#This Row],[Lucro]]/Tabela3[[#This Row],[Cotação]],0)</f>
        <v>3.7596523386562636E-2</v>
      </c>
      <c r="AU174" s="22">
        <f>((1+Tabela3[[#This Row],[% Yield]])^(1/(3*Tabela3[[#This Row],[Ref]])))^(12)-1</f>
        <v>5.044022461955322E-2</v>
      </c>
      <c r="AV174" s="10">
        <f>IF([Cotação]&gt;0,($BH$1/Tabela3[[#This Row],[Cotação]]-MOD($BH$1/Tabela3[[#This Row],[Cotação]],100)),)</f>
        <v>100</v>
      </c>
      <c r="AW174" s="7">
        <f>Tabela3[[#This Row],[Ativos]]*[Lucro]</f>
        <v>18.723068646508196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4.9800000000000004</v>
      </c>
      <c r="BB174" s="7">
        <f>SUMPRODUCT(N(Tabela17683[Código]=Tabela3[[#This Row],[PAPEL]]),Tabela17683[Fechamento])</f>
        <v>0</v>
      </c>
    </row>
    <row r="175" spans="1:54" ht="11.25" customHeight="1">
      <c r="A175" s="3" t="s">
        <v>889</v>
      </c>
      <c r="B175" s="58" t="s">
        <v>952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233044137.39999998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5" s="18">
        <f>IF(Tabela3[[#This Row],[Lucro Líquido]]&gt;0,Tabela3[[#This Row],[Lucro Líquido]]/Tabela3[[#This Row],[Patrimônio Líquido]],0)/Tabela3[[#This Row],[Ref]]*4</f>
        <v>0.15391354156137335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2.312588816579864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5.93</v>
      </c>
      <c r="AO175" s="53">
        <f>[Cotação]/[VPA]</f>
        <v>0.84130242667975907</v>
      </c>
      <c r="AP175" s="37">
        <f>IF(Tabela3[[#This Row],[Lucro/Ação]]&gt;0,Tabela3[[#This Row],[Cotação]]/(Tabela3[[#This Row],[Lucro/Ação]]/[Ref]*4),0)</f>
        <v>5.466071523955466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3.1573471579271831E-2</v>
      </c>
      <c r="AU175" s="22">
        <f>((1+Tabela3[[#This Row],[% Yield]])^(1/(3*Tabela3[[#This Row],[Ref]])))^(12)-1</f>
        <v>4.231795769212976E-2</v>
      </c>
      <c r="AV175" s="10">
        <f>IF([Cotação]&gt;0,($BH$1/Tabela3[[#This Row],[Cotação]]-MOD($BH$1/Tabela3[[#This Row],[Cotação]],100)),)</f>
        <v>100</v>
      </c>
      <c r="AW175" s="7">
        <f>Tabela3[[#This Row],[Ativos]]*[Lucro]</f>
        <v>18.723068646508196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5.93</v>
      </c>
      <c r="BB175" s="7">
        <f>SUMPRODUCT(N(Tabela17683[Código]=Tabela3[[#This Row],[PAPEL]]),Tabela17683[Fechamento])</f>
        <v>0</v>
      </c>
    </row>
    <row r="176" spans="1:54" ht="11.25" customHeight="1">
      <c r="A176" s="3" t="s">
        <v>889</v>
      </c>
      <c r="B176" s="58" t="s">
        <v>955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6" s="18">
        <f>IF(Tabela3[[#This Row],[Lucro Líquido]]&gt;0,Tabela3[[#This Row],[Lucro Líquido]]/Tabela3[[#This Row],[Patrimônio Líquido]],0)/Tabela3[[#This Row],[Ref]]*4</f>
        <v>0.15391354156137335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2.312588816579864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t="11.25" customHeight="1">
      <c r="A177" s="3" t="s">
        <v>848</v>
      </c>
      <c r="B177" s="58" t="s">
        <v>849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1945935000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7" s="18">
        <f>IF(Tabela3[[#This Row],[Lucro Líquido]]&gt;0,Tabela3[[#This Row],[Lucro Líquido]]/Tabela3[[#This Row],[Patrimônio Líquido]],0)/Tabela3[[#This Row],[Ref]]*4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2.312588816579864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15</v>
      </c>
      <c r="AO177" s="53">
        <f>[Cotação]/[VPA]</f>
        <v>6.1525510542840065</v>
      </c>
      <c r="AP177" s="37">
        <f>IF(Tabela3[[#This Row],[Lucro/Ação]]&gt;0,Tabela3[[#This Row],[Cotação]]/(Tabela3[[#This Row],[Lucro/Ação]]/[Ref]*4),0)</f>
        <v>17.42389104779642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1.3630709658852942E-2</v>
      </c>
      <c r="AU177" s="22">
        <f>((1+Tabela3[[#This Row],[% Yield]])^(1/(3*Tabela3[[#This Row],[Ref]])))^(12)-1</f>
        <v>1.3630709658851936E-2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15</v>
      </c>
      <c r="BB177" s="7">
        <f>SUMPRODUCT(N(Tabela17683[Código]=Tabela3[[#This Row],[PAPEL]]),Tabela17683[Fechamento])</f>
        <v>0</v>
      </c>
    </row>
    <row r="178" spans="1:54" ht="11.25" customHeight="1">
      <c r="A178" s="3" t="s">
        <v>1060</v>
      </c>
      <c r="B178" s="57" t="s">
        <v>1070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5370732305.8100004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8" s="18">
        <f>IF(Tabela3[[#This Row],[Lucro Líquido]]&gt;0,Tabela3[[#This Row],[Lucro Líquido]]/Tabela3[[#This Row],[Patrimônio Líquido]],0)/Tabela3[[#This Row],[Ref]]*4</f>
        <v>0.12873744657768635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2.312588816579864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12.89</v>
      </c>
      <c r="AO178" s="53">
        <f>[Cotação]/[VPA]</f>
        <v>0.96690491036285331</v>
      </c>
      <c r="AP178" s="37">
        <f>IF(Tabela3[[#This Row],[Lucro/Ação]]&gt;0,Tabela3[[#This Row],[Cotação]]/(Tabela3[[#This Row],[Lucro/Ação]]/[Ref]*4),0)</f>
        <v>7.5106733593583934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2.3716249060153044E-2</v>
      </c>
      <c r="AU178" s="22">
        <f>((1+Tabela3[[#This Row],[% Yield]])^(1/(3*Tabela3[[#This Row],[Ref]])))^(12)-1</f>
        <v>3.1746004318919052E-2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12.89</v>
      </c>
      <c r="BB178" s="7">
        <f>SUMPRODUCT(N(Tabela17683[Código]=Tabela3[[#This Row],[PAPEL]]),Tabela17683[Fechamento])</f>
        <v>0</v>
      </c>
    </row>
    <row r="179" spans="1:54" ht="11.25" customHeight="1">
      <c r="A179" s="4" t="s">
        <v>726</v>
      </c>
      <c r="B179" s="57" t="s">
        <v>728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4698871436.0500002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9" s="19">
        <f>IF(Tabela3[[#This Row],[Lucro Líquido]]&gt;0,Tabela3[[#This Row],[Lucro Líquido]]/Tabela3[[#This Row],[Patrimônio Líquido]],0)/Tabela3[[#This Row],[Ref]]*4</f>
        <v>4.6680519170320407E-2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2.312588816579864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15.07</v>
      </c>
      <c r="AO179" s="44">
        <f>[Cotação]/[VPA]</f>
        <v>1.7391645992964684</v>
      </c>
      <c r="AP179" s="40">
        <f>IF(Tabela3[[#This Row],[Lucro/Ação]]&gt;0,Tabela3[[#This Row],[Cotação]]/(Tabela3[[#This Row],[Lucro/Ação]]/[Ref]*4),0)</f>
        <v>37.256753571032128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A.A.]&gt;=5%,SUMPRODUCT(N([Nome]=Tabela3[[#This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4.7810123783435538E-3</v>
      </c>
      <c r="AU179" s="42">
        <f>((1+Tabela3[[#This Row],[% Yield]])^(1/(3*Tabela3[[#This Row],[Ref]])))^(12)-1</f>
        <v>6.3797573582613509E-3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15.07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t="11.25" customHeight="1">
      <c r="A180" s="4" t="s">
        <v>14</v>
      </c>
      <c r="B180" s="57" t="s">
        <v>533</v>
      </c>
      <c r="C180" s="82" t="str">
        <f>LEFT([PAPEL],LEN([PAPEL])-(LEN([PAPEL])-4))</f>
        <v>DAYC</v>
      </c>
      <c r="D180" s="15">
        <v>4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>
        <v>15000953000</v>
      </c>
      <c r="N180" s="55">
        <v>8886317000</v>
      </c>
      <c r="O180" s="55">
        <v>6507424000</v>
      </c>
      <c r="P180" s="6">
        <v>2440276000</v>
      </c>
      <c r="Q180" s="6">
        <v>233804000</v>
      </c>
      <c r="R180" s="6">
        <f>IF(Tabela3[[#This Row],[Ativo || Passivo]]&gt;0,Tabela3[[#This Row],[Ativo || Passivo]]-Tabela3[[#This Row],[Patrimônio Líquido]],0)</f>
        <v>12560677000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1.365566005841943</v>
      </c>
      <c r="U18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0" s="19">
        <f>IF(Tabela3[[#This Row],[Lucro Líquido]]&gt;0,Tabela3[[#This Row],[Lucro Líquido]]/Tabela3[[#This Row],[Patrimônio Líquido]],0)/Tabela3[[#This Row],[Ref]]*4</f>
        <v>9.5810473897214907E-2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0" s="19">
        <f>IF(Tabela3[[#This Row],[Dívida]]&gt;0,Tabela3[[#This Row],[Dívida]]/Tabela3[[#This Row],[Patrimônio Líquido]],0)</f>
        <v>5.1472362142642885</v>
      </c>
      <c r="Y180" s="19">
        <f>SUMPRODUCT(N([Dívida / PL]&gt;0),N(RIGHT([PAPEL],LEN([PAPEL])-(LEN([PAPEL])-1))="3"),[Dívida / PL])/SUMPRODUCT(N([Dívida / PL]&gt;0),N(RIGHT([PAPEL],LEN([PAPEL])-(LEN([PAPEL])-1))="3"))</f>
        <v>2.312588816579864</v>
      </c>
      <c r="Z180" s="6">
        <f>Tabela3[[#This Row],[Capital Social]]*20%</f>
        <v>373772579.49400002</v>
      </c>
      <c r="AA180" s="6">
        <f>IF(([Lucro Líquido]*5%)&gt;[Teto R. Legal],[Teto R. Legal],[Lucro Líquido]*5%)</f>
        <v>11690200</v>
      </c>
      <c r="AB180" s="6">
        <f>IF([Lucro Líquido]&lt;0,0,[Lucro Líquido]-[Reserva Legal])</f>
        <v>222113800</v>
      </c>
      <c r="AC180" s="6">
        <f>Tabela3[[#This Row],[Lucro Distribuir]]*[%Div]</f>
        <v>55528450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0.92691111003568005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0" s="6">
        <f>[Div Base]*[Ações]</f>
        <v>35414099.400058128</v>
      </c>
      <c r="AL180" s="6">
        <f>SUMPRODUCT(N([Nome]=Tabela3[[#This Row],[Nome]]),[Div Base]*[Ações])</f>
        <v>55528450</v>
      </c>
      <c r="AM180" s="6">
        <f>[Patrimônio Líquido]/[Total Ações]</f>
        <v>9.6744236024765584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0.88056555453389607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0" s="15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t="11.25" customHeight="1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4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>
        <v>15000953000</v>
      </c>
      <c r="N181" s="55">
        <v>8886317000</v>
      </c>
      <c r="O181" s="55">
        <v>6507424000</v>
      </c>
      <c r="P181" s="6">
        <v>2440276000</v>
      </c>
      <c r="Q181" s="6">
        <v>233804000</v>
      </c>
      <c r="R181" s="6">
        <f>IF(Tabela3[[#This Row],[Ativo || Passivo]]&gt;0,Tabela3[[#This Row],[Ativo || Passivo]]-Tabela3[[#This Row],[Patrimônio Líquido]],0)</f>
        <v>12560677000</v>
      </c>
      <c r="S181" s="6">
        <f>Tabela3[[#This Row],[Cotação]]*Tabela3[[#This Row],[Total Ações]]</f>
        <v>2191965052.5299997</v>
      </c>
      <c r="T181" s="132">
        <f>IF(Tabela3[[#This Row],[Passivo Circulante]]&gt;0,Tabela3[[#This Row],[Ativo Circulante]]/Tabela3[[#This Row],[Passivo Circulante]],0)</f>
        <v>1.365566005841943</v>
      </c>
      <c r="U18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1" s="19">
        <f>IF(Tabela3[[#This Row],[Lucro Líquido]]&gt;0,Tabela3[[#This Row],[Lucro Líquido]]/Tabela3[[#This Row],[Patrimônio Líquido]],0)/Tabela3[[#This Row],[Ref]]*4</f>
        <v>9.5810473897214907E-2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1" s="19">
        <f>IF(Tabela3[[#This Row],[Dívida]]&gt;0,Tabela3[[#This Row],[Dívida]]/Tabela3[[#This Row],[Patrimônio Líquido]],0)</f>
        <v>5.1472362142642885</v>
      </c>
      <c r="Y181" s="19">
        <f>SUMPRODUCT(N([Dívida / PL]&gt;0),N(RIGHT([PAPEL],LEN([PAPEL])-(LEN([PAPEL])-1))="3"),[Dívida / PL])/SUMPRODUCT(N([Dívida / PL]&gt;0),N(RIGHT([PAPEL],LEN([PAPEL])-(LEN([PAPEL])-1))="3"))</f>
        <v>2.312588816579864</v>
      </c>
      <c r="Z181" s="6">
        <f>Tabela3[[#This Row],[Capital Social]]*20%</f>
        <v>373772579.49400002</v>
      </c>
      <c r="AA181" s="6">
        <f>IF(([Lucro Líquido]*5%)&gt;[Teto R. Legal],[Teto R. Legal],[Lucro Líquido]*5%)</f>
        <v>11690200</v>
      </c>
      <c r="AB181" s="6">
        <f>IF([Lucro Líquido]&lt;0,0,[Lucro Líquido]-[Reserva Legal])</f>
        <v>222113800</v>
      </c>
      <c r="AC181" s="6">
        <f>Tabela3[[#This Row],[Lucro Distribuir]]*[%Div]</f>
        <v>55528450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0.92691111003568005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1" s="6">
        <f>[Div Base]*[Ações]</f>
        <v>20114350.599941872</v>
      </c>
      <c r="AL181" s="6">
        <f>SUMPRODUCT(N([Nome]=Tabela3[[#This Row],[Nome]]),[Div Base]*[Ações])</f>
        <v>55528450</v>
      </c>
      <c r="AM181" s="6">
        <f>[Patrimônio Líquido]/[Total Ações]</f>
        <v>9.6744236024765584</v>
      </c>
      <c r="AN181" s="48">
        <f>MAX(Tabela3[[#This Row],[Cotação 1]:[Cotação 5]])</f>
        <v>8.69</v>
      </c>
      <c r="AO181" s="44">
        <f>[Cotação]/[VPA]</f>
        <v>0.89824472827253954</v>
      </c>
      <c r="AP181" s="40">
        <f>IF(Tabela3[[#This Row],[Lucro/Ação]]&gt;0,Tabela3[[#This Row],[Cotação]]/(Tabela3[[#This Row],[Lucro/Ação]]/[Ref]*4),0)</f>
        <v>9.3752247717318777</v>
      </c>
      <c r="AQ181" s="78">
        <f>[Lucro Distribuir]/[Total Ações]</f>
        <v>0.88056555453389607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2.5332725964726587E-2</v>
      </c>
      <c r="AU181" s="19">
        <f>((1+Tabela3[[#This Row],[% Yield]])^(1/(3*Tabela3[[#This Row],[Ref]])))^(12)-1</f>
        <v>2.5332725964727798E-2</v>
      </c>
      <c r="AV181" s="14">
        <f>IF([Cotação]&gt;0,($BH$1/Tabela3[[#This Row],[Cotação]]-MOD($BH$1/Tabela3[[#This Row],[Cotação]],100)),)</f>
        <v>100</v>
      </c>
      <c r="AW181" s="17">
        <f>Tabela3[[#This Row],[Ativos]]*[Lucro]</f>
        <v>22.014138863347402</v>
      </c>
      <c r="AX181" s="5">
        <f>SUMPRODUCT(N(Tabela1[Código]=Tabela3[[#This Row],[PAPEL]]),Tabela1[Fechamento])</f>
        <v>8.69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t="11.25" customHeight="1">
      <c r="A182" s="3" t="s">
        <v>1320</v>
      </c>
      <c r="B182" s="57" t="s">
        <v>1286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2" s="18">
        <f>IF(Tabela3[[#This Row],[Lucro Líquido]]&gt;0,Tabela3[[#This Row],[Lucro Líquido]]/Tabela3[[#This Row],[Patrimônio Líquido]],0)/Tabela3[[#This Row],[Ref]]*4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2.312588816579864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A.A.]&gt;=5%,SUMPRODUCT(N([Nome]=Tabela3[[#This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 ht="11.25" customHeight="1">
      <c r="A183" s="3" t="s">
        <v>1320</v>
      </c>
      <c r="B183" s="57" t="s">
        <v>1287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3" s="18">
        <f>IF(Tabela3[[#This Row],[Lucro Líquido]]&gt;0,Tabela3[[#This Row],[Lucro Líquido]]/Tabela3[[#This Row],[Patrimônio Líquido]],0)/Tabela3[[#This Row],[Ref]]*4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2.312588816579864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100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 ht="11.25" customHeight="1">
      <c r="A184" s="3" t="s">
        <v>1060</v>
      </c>
      <c r="B184" s="57" t="s">
        <v>1071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1658590639.3199999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4" s="18">
        <f>IF(Tabela3[[#This Row],[Lucro Líquido]]&gt;0,Tabela3[[#This Row],[Lucro Líquido]]/Tabela3[[#This Row],[Patrimônio Líquido]],0)/Tabela3[[#This Row],[Ref]]*4</f>
        <v>0.16031454353389679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2.312588816579864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10.68</v>
      </c>
      <c r="AO184" s="53">
        <f>[Cotação]/[VPA]</f>
        <v>1.1221584855307989</v>
      </c>
      <c r="AP184" s="37">
        <f>IF(Tabela3[[#This Row],[Lucro/Ação]]&gt;0,Tabela3[[#This Row],[Cotação]]/(Tabela3[[#This Row],[Lucro/Ação]]/[Ref]*4),0)</f>
        <v>6.9997297861720851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2.544741089175822E-2</v>
      </c>
      <c r="AU184" s="22">
        <f>((1+Tabela3[[#This Row],[% Yield]])^(1/(3*Tabela3[[#This Row],[Ref]])))^(12)-1</f>
        <v>3.407298052924923E-2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10.68</v>
      </c>
      <c r="BB184" s="7">
        <f>SUMPRODUCT(N(Tabela17683[Código]=Tabela3[[#This Row],[PAPEL]]),Tabela17683[Fechamento])</f>
        <v>0</v>
      </c>
    </row>
    <row r="185" spans="1:54" ht="11.25" customHeight="1">
      <c r="A185" s="4" t="s">
        <v>289</v>
      </c>
      <c r="B185" s="57" t="s">
        <v>700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5" s="19">
        <f>IF(Tabela3[[#This Row],[Lucro Líquido]]&gt;0,Tabela3[[#This Row],[Lucro Líquido]]/Tabela3[[#This Row],[Patrimônio Líquido]],0)/Tabela3[[#This Row],[Ref]]*4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2.312588816579864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A.A.]&gt;=5%,SUMPRODUCT(N([Nome]=Tabela3[[#This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t="11.25" customHeight="1">
      <c r="A186" s="4" t="s">
        <v>289</v>
      </c>
      <c r="B186" s="57" t="s">
        <v>701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6" s="19">
        <f>IF(Tabela3[[#This Row],[Lucro Líquido]]&gt;0,Tabela3[[#This Row],[Lucro Líquido]]/Tabela3[[#This Row],[Patrimônio Líquido]],0)/Tabela3[[#This Row],[Ref]]*4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2.312588816579864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100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t="11.25" customHeight="1">
      <c r="A187" s="3" t="s">
        <v>889</v>
      </c>
      <c r="B187" s="58" t="s">
        <v>957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7" s="18">
        <f>IF(Tabela3[[#This Row],[Lucro Líquido]]&gt;0,Tabela3[[#This Row],[Lucro Líquido]]/Tabela3[[#This Row],[Patrimônio Líquido]],0)/Tabela3[[#This Row],[Ref]]*4</f>
        <v>8.483554082125988E-2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2.312588816579864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100</v>
      </c>
      <c r="AW187" s="7">
        <f>Tabela3[[#This Row],[Ativos]]*[Lucro]</f>
        <v>12.750709498188645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 ht="11.25" customHeight="1">
      <c r="A188" s="3" t="s">
        <v>889</v>
      </c>
      <c r="B188" s="58" t="s">
        <v>958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257193968.99999997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8" s="19">
        <f>IF(Tabela3[[#This Row],[Lucro Líquido]]&gt;0,Tabela3[[#This Row],[Lucro Líquido]]/Tabela3[[#This Row],[Patrimônio Líquido]],0)/Tabela3[[#This Row],[Ref]]*4</f>
        <v>8.483554082125988E-2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2.312588816579864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5.0999999999999996</v>
      </c>
      <c r="AO188" s="53">
        <f>[Cotação]/[VPA]</f>
        <v>0.58561380232110682</v>
      </c>
      <c r="AP188" s="37">
        <f>IF(Tabela3[[#This Row],[Lucro/Ação]]&gt;0,Tabela3[[#This Row],[Cotação]]/(Tabela3[[#This Row],[Lucro/Ação]]/[Ref]*4),0)</f>
        <v>6.9029300297022607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2.7501530327885028E-2</v>
      </c>
      <c r="AU188" s="22">
        <f>((1+Tabela3[[#This Row],[% Yield]])^(1/(3*Tabela3[[#This Row],[Ref]])))^(12)-1</f>
        <v>3.6835765786900732E-2</v>
      </c>
      <c r="AV188" s="10">
        <f>IF([Cotação]&gt;0,($BH$1/Tabela3[[#This Row],[Cotação]]-MOD($BH$1/Tabela3[[#This Row],[Cotação]],100)),)</f>
        <v>100</v>
      </c>
      <c r="AW188" s="7">
        <f>Tabela3[[#This Row],[Ativos]]*[Lucro]</f>
        <v>14.025780467221363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5.0999999999999996</v>
      </c>
      <c r="BB188" s="7">
        <f>SUMPRODUCT(N(Tabela17683[Código]=Tabela3[[#This Row],[PAPEL]]),Tabela17683[Fechamento])</f>
        <v>0</v>
      </c>
    </row>
    <row r="189" spans="1:54" ht="11.25" customHeight="1">
      <c r="A189" s="3" t="s">
        <v>1173</v>
      </c>
      <c r="B189" s="57" t="s">
        <v>1161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21330087.800000001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9" s="18">
        <f>IF(Tabela3[[#This Row],[Lucro Líquido]]&gt;0,Tabela3[[#This Row],[Lucro Líquido]]/Tabela3[[#This Row],[Patrimônio Líquido]],0)/Tabela3[[#This Row],[Ref]]*4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2.312588816579864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0.38</v>
      </c>
      <c r="AO189" s="53">
        <f>[Cotação]/[VPA]</f>
        <v>6.4754364905889501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2300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0.38</v>
      </c>
    </row>
    <row r="190" spans="1:54" ht="11.25" customHeight="1">
      <c r="A190" s="3" t="s">
        <v>1173</v>
      </c>
      <c r="B190" s="57" t="s">
        <v>1162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0" s="18">
        <f>IF(Tabela3[[#This Row],[Lucro Líquido]]&gt;0,Tabela3[[#This Row],[Lucro Líquido]]/Tabela3[[#This Row],[Patrimônio Líquido]],0)/Tabela3[[#This Row],[Ref]]*4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2.312588816579864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t="11.25" customHeight="1">
      <c r="A191" s="4" t="s">
        <v>311</v>
      </c>
      <c r="B191" s="57" t="s">
        <v>310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6492288316.9700003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1" s="19">
        <f>IF(Tabela3[[#This Row],[Lucro Líquido]]&gt;0,Tabela3[[#This Row],[Lucro Líquido]]/Tabela3[[#This Row],[Patrimônio Líquido]],0)/Tabela3[[#This Row],[Ref]]*4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2.312588816579864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10.73</v>
      </c>
      <c r="AO191" s="44">
        <f>[Cotação]/[VPA]</f>
        <v>1.4873495716431024</v>
      </c>
      <c r="AP191" s="40">
        <f>IF(Tabela3[[#This Row],[Lucro/Ação]]&gt;0,Tabela3[[#This Row],[Cotação]]/(Tabela3[[#This Row],[Lucro/Ação]]/[Ref]*4),0)</f>
        <v>12.487090931239422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A.A.]&gt;=5%,SUMPRODUCT(N([Nome]=Tabela3[[#This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2.2823570483258424E-2</v>
      </c>
      <c r="AU191" s="19">
        <f>((1+Tabela3[[#This Row],[% Yield]])^(1/(3*Tabela3[[#This Row],[Ref]])))^(12)-1</f>
        <v>2.2823570483258004E-2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10.73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t="11.25" customHeight="1">
      <c r="A192" s="4" t="s">
        <v>326</v>
      </c>
      <c r="B192" s="126" t="s">
        <v>614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2" s="19">
        <f>IF(Tabela3[[#This Row],[Lucro Líquido]]&gt;0,Tabela3[[#This Row],[Lucro Líquido]]/Tabela3[[#This Row],[Patrimônio Líquido]],0)/Tabela3[[#This Row],[Ref]]*4</f>
        <v>1.2669293433505214E-3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2.312588816579864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t="11.25" customHeight="1">
      <c r="A193" s="4" t="s">
        <v>326</v>
      </c>
      <c r="B193" s="126" t="s">
        <v>615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11968017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3" s="19">
        <f>IF(Tabela3[[#This Row],[Lucro Líquido]]&gt;0,Tabela3[[#This Row],[Lucro Líquido]]/Tabela3[[#This Row],[Patrimônio Líquido]],0)/Tabela3[[#This Row],[Ref]]*4</f>
        <v>1.2669293433505214E-3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2.312588816579864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4.25</v>
      </c>
      <c r="AO193" s="44">
        <f>[Cotação]/[VPA]</f>
        <v>0.15162631919017877</v>
      </c>
      <c r="AP193" s="40">
        <f>IF(Tabela3[[#This Row],[Lucro/Ação]]&gt;0,Tabela3[[#This Row],[Cotação]]/(Tabela3[[#This Row],[Lucro/Ação]]/[Ref]*4),0)</f>
        <v>119.68017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1.586237215096912E-3</v>
      </c>
      <c r="AU193" s="42">
        <f>((1+Tabela3[[#This Row],[% Yield]])^(1/(3*Tabela3[[#This Row],[Ref]])))^(12)-1</f>
        <v>2.1155419006069209E-3</v>
      </c>
      <c r="AV193" s="14">
        <f>IF([Cotação]&gt;0,($BH$1/Tabela3[[#This Row],[Cotação]]-MOD($BH$1/Tabela3[[#This Row],[Cotação]],100)),)</f>
        <v>200</v>
      </c>
      <c r="AW193" s="17">
        <f>Tabela3[[#This Row],[Ativos]]*[Lucro]</f>
        <v>1.3483016328323751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4.25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t="11.25" customHeight="1">
      <c r="A194" s="3" t="s">
        <v>1243</v>
      </c>
      <c r="B194" s="57" t="s">
        <v>1235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4" s="18">
        <f>IF(Tabela3[[#This Row],[Lucro Líquido]]&gt;0,Tabela3[[#This Row],[Lucro Líquido]]/Tabela3[[#This Row],[Patrimônio Líquido]],0)/Tabela3[[#This Row],[Ref]]*4</f>
        <v>0.15236585918043921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2.312588816579864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 ht="11.25" customHeight="1">
      <c r="A195" s="3" t="s">
        <v>1243</v>
      </c>
      <c r="B195" s="57" t="s">
        <v>1236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55957500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5" s="18">
        <f>IF(Tabela3[[#This Row],[Lucro Líquido]]&gt;0,Tabela3[[#This Row],[Lucro Líquido]]/Tabela3[[#This Row],[Patrimônio Líquido]],0)/Tabela3[[#This Row],[Ref]]*4</f>
        <v>0.15236585918043921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2.312588816579864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24.87</v>
      </c>
      <c r="AO195" s="53">
        <f>[Cotação]/[VPA]</f>
        <v>0.79179165723341638</v>
      </c>
      <c r="AP195" s="37">
        <f>IF(Tabela3[[#This Row],[Lucro/Ação]]&gt;0,Tabela3[[#This Row],[Cotação]]/(Tabela3[[#This Row],[Lucro/Ação]]/[Ref]*4),0)</f>
        <v>5.1966474739970288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3.6531463893414287E-2</v>
      </c>
      <c r="AU195" s="22">
        <f>((1+Tabela3[[#This Row],[% Yield]])^(1/(3*Tabela3[[#This Row],[Ref]])))^(12)-1</f>
        <v>4.9002813107495991E-2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24.87</v>
      </c>
    </row>
    <row r="196" spans="1:54" ht="11.25" customHeight="1">
      <c r="A196" s="4" t="s">
        <v>284</v>
      </c>
      <c r="B196" s="57" t="s">
        <v>518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8767316201.2000008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6" s="19">
        <f>IF(Tabela3[[#This Row],[Lucro Líquido]]&gt;0,Tabela3[[#This Row],[Lucro Líquido]]/Tabela3[[#This Row],[Patrimônio Líquido]],0)/Tabela3[[#This Row],[Ref]]*4</f>
        <v>4.7029015101392263E-2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2.312588816579864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7.12</v>
      </c>
      <c r="AO196" s="44">
        <f>[Cotação]/[VPA]</f>
        <v>0.75206154975020401</v>
      </c>
      <c r="AP196" s="40">
        <f>IF(Tabela3[[#This Row],[Lucro/Ação]]&gt;0,Tabela3[[#This Row],[Cotação]]/(Tabela3[[#This Row],[Lucro/Ação]]/[Ref]*4),0)</f>
        <v>15.991437373901961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A.A.]&gt;=5%,SUMPRODUCT(N([Nome]=Tabela3[[#This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100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7.12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>
      <c r="A197" s="4" t="s">
        <v>284</v>
      </c>
      <c r="B197" s="57" t="s">
        <v>372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9358371226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7" s="19">
        <f>IF(Tabela3[[#This Row],[Lucro Líquido]]&gt;0,Tabela3[[#This Row],[Lucro Líquido]]/Tabela3[[#This Row],[Patrimônio Líquido]],0)/Tabela3[[#This Row],[Ref]]*4</f>
        <v>4.7029015101392263E-2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2.312588816579864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7.6</v>
      </c>
      <c r="AO197" s="44">
        <f>[Cotação]/[VPA]</f>
        <v>0.80276232838504913</v>
      </c>
      <c r="AP197" s="40">
        <f>IF(Tabela3[[#This Row],[Lucro/Ação]]&gt;0,Tabela3[[#This Row],[Cotação]]/(Tabela3[[#This Row],[Lucro/Ação]]/[Ref]*4),0)</f>
        <v>17.069511803603216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4.72733275703889E-2</v>
      </c>
      <c r="AU197" s="19">
        <f>((1+Tabela3[[#This Row],[% Yield]])^(1/(3*Tabela3[[#This Row],[Ref]])))^(12)-1</f>
        <v>6.3522601637918896E-2</v>
      </c>
      <c r="AV197" s="14">
        <f>IF([Cotação]&gt;0,($BH$1/Tabela3[[#This Row],[Cotação]]-MOD($BH$1/Tabela3[[#This Row],[Cotação]],100)),)</f>
        <v>100</v>
      </c>
      <c r="AW197" s="13">
        <f>Tabela3[[#This Row],[Ativos]]*[Lucro]</f>
        <v>35.92772895349556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7.6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t="11.25" customHeight="1">
      <c r="A198" s="3" t="s">
        <v>1182</v>
      </c>
      <c r="B198" s="57" t="s">
        <v>1176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7151348224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8" s="18">
        <f>IF(Tabela3[[#This Row],[Lucro Líquido]]&gt;0,Tabela3[[#This Row],[Lucro Líquido]]/Tabela3[[#This Row],[Patrimônio Líquido]],0)/Tabela3[[#This Row],[Ref]]*4</f>
        <v>0.1917258691311986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2.312588816579864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12.8</v>
      </c>
      <c r="AO198" s="53">
        <f>[Cotação]/[VPA]</f>
        <v>3.3219100791441032</v>
      </c>
      <c r="AP198" s="37">
        <f>IF(Tabela3[[#This Row],[Lucro/Ação]]&gt;0,Tabela3[[#This Row],[Cotação]]/(Tabela3[[#This Row],[Lucro/Ação]]/[Ref]*4),0)</f>
        <v>17.326352954858219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A.A.]&gt;=5%,SUMPRODUCT(N([Nome]=Tabela3[[#This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1.0280582443638532E-2</v>
      </c>
      <c r="AU198" s="22">
        <f>((1+Tabela3[[#This Row],[% Yield]])^(1/(3*Tabela3[[#This Row],[Ref]])))^(12)-1</f>
        <v>1.3730876579645779E-2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12.8</v>
      </c>
    </row>
    <row r="199" spans="1:54" ht="11.25" customHeight="1">
      <c r="A199" s="3" t="s">
        <v>889</v>
      </c>
      <c r="B199" s="58" t="s">
        <v>961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9" s="18">
        <f>IF(Tabela3[[#This Row],[Lucro Líquido]]&gt;0,Tabela3[[#This Row],[Lucro Líquido]]/Tabela3[[#This Row],[Patrimônio Líquido]],0)/Tabela3[[#This Row],[Ref]]*4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2.312588816579864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 ht="11.25" customHeight="1">
      <c r="A200" s="3" t="s">
        <v>889</v>
      </c>
      <c r="B200" s="58" t="s">
        <v>962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0" s="18">
        <f>IF(Tabela3[[#This Row],[Lucro Líquido]]&gt;0,Tabela3[[#This Row],[Lucro Líquido]]/Tabela3[[#This Row],[Patrimônio Líquido]],0)/Tabela3[[#This Row],[Ref]]*4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2.312588816579864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 ht="11.25" customHeight="1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607950829.96000004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1" s="19">
        <f>IF(Tabela3[[#This Row],[Lucro Líquido]]&gt;0,Tabela3[[#This Row],[Lucro Líquido]]/Tabela3[[#This Row],[Patrimônio Líquido]],0)/Tabela3[[#This Row],[Ref]]*4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2.312588816579864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1.57</v>
      </c>
      <c r="AO201" s="44">
        <f>[Cotação]/[VPA]</f>
        <v>0.33935201406638549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500</v>
      </c>
      <c r="AW201" s="17">
        <f>Tabela3[[#This Row],[Ativos]]*[Lucro]</f>
        <v>0</v>
      </c>
      <c r="AX201" s="5">
        <f>SUMPRODUCT(N(Tabela1[Código]=Tabela3[[#This Row],[PAPEL]]),Tabela1[Fechamento])</f>
        <v>1.57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t="11.25" customHeight="1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2" s="19">
        <f>IF(Tabela3[[#This Row],[Lucro Líquido]]&gt;0,Tabela3[[#This Row],[Lucro Líquido]]/Tabela3[[#This Row],[Patrimônio Líquido]],0)/Tabela3[[#This Row],[Ref]]*4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2.312588816579864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500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t="11.25" customHeight="1">
      <c r="A203" s="4" t="s">
        <v>12</v>
      </c>
      <c r="B203" s="57" t="s">
        <v>484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3" s="19">
        <f>IF(Tabela3[[#This Row],[Lucro Líquido]]&gt;0,Tabela3[[#This Row],[Lucro Líquido]]/Tabela3[[#This Row],[Patrimônio Líquido]],0)/Tabela3[[#This Row],[Ref]]*4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2.312588816579864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t="11.25" customHeight="1">
      <c r="A204" s="4" t="s">
        <v>12</v>
      </c>
      <c r="B204" s="57" t="s">
        <v>485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3290032319.7000003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4" s="19">
        <f>IF(Tabela3[[#This Row],[Lucro Líquido]]&gt;0,Tabela3[[#This Row],[Lucro Líquido]]/Tabela3[[#This Row],[Patrimônio Líquido]],0)/Tabela3[[#This Row],[Ref]]*4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2.312588816579864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16.98</v>
      </c>
      <c r="AO204" s="44">
        <f>[Cotação]/[VPA]</f>
        <v>1.6027398884426052</v>
      </c>
      <c r="AP204" s="40">
        <f>IF(Tabela3[[#This Row],[Lucro/Ação]]&gt;0,Tabela3[[#This Row],[Cotação]]/(Tabela3[[#This Row],[Lucro/Ação]]/[Ref]*4),0)</f>
        <v>10.164020092124044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2.4903681527906497E-2</v>
      </c>
      <c r="AU204" s="42">
        <f>((1+Tabela3[[#This Row],[% Yield]])^(1/(3*Tabela3[[#This Row],[Ref]])))^(12)-1</f>
        <v>2.4903681527907784E-2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16.98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t="11.25" customHeight="1">
      <c r="A205" s="3" t="s">
        <v>40</v>
      </c>
      <c r="B205" s="57" t="s">
        <v>252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5" s="18">
        <f>IF(Tabela3[[#This Row],[Lucro Líquido]]&gt;0,Tabela3[[#This Row],[Lucro Líquido]]/Tabela3[[#This Row],[Patrimônio Líquido]],0)/Tabela3[[#This Row],[Ref]]*4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2.312588816579864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t="11.25" customHeight="1">
      <c r="A206" s="4" t="s">
        <v>40</v>
      </c>
      <c r="B206" s="57" t="s">
        <v>253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286515047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6" s="18">
        <f>IF(Tabela3[[#This Row],[Lucro Líquido]]&gt;0,Tabela3[[#This Row],[Lucro Líquido]]/Tabela3[[#This Row],[Patrimônio Líquido]],0)/Tabela3[[#This Row],[Ref]]*4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2.312588816579864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9.1</v>
      </c>
      <c r="AO206" s="44">
        <f>[Cotação]/[VPA]</f>
        <v>0.56839201515632432</v>
      </c>
      <c r="AP206" s="40">
        <f>IF(Tabela3[[#This Row],[Lucro/Ação]]&gt;0,Tabela3[[#This Row],[Cotação]]/(Tabela3[[#This Row],[Lucro/Ação]]/[Ref]*4),0)</f>
        <v>7.2738016501650167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3.2651426506057117E-2</v>
      </c>
      <c r="AU206" s="19">
        <f>((1+Tabela3[[#This Row],[% Yield]])^(1/(3*Tabela3[[#This Row],[Ref]])))^(12)-1</f>
        <v>3.265142650605668E-2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9.1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customHeight="1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6343853929.000001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7" s="19">
        <f>IF(Tabela3[[#This Row],[Lucro Líquido]]&gt;0,Tabela3[[#This Row],[Lucro Líquido]]/Tabela3[[#This Row],[Patrimônio Líquido]],0)/Tabela3[[#This Row],[Ref]]*4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2.312588816579864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4.6900000000000004</v>
      </c>
      <c r="AO207" s="9">
        <f>[Cotação]/[VPA]</f>
        <v>9.6861980211057103E-2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A.A.]&gt;=5%,SUMPRODUCT(N([Nome]=Tabela3[[#This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5">
        <f>Tabela3[[#This Row],[Ativos]]*[Lucro]</f>
        <v>0</v>
      </c>
      <c r="AX207" s="5">
        <f>SUMPRODUCT(N(Tabela1[Código]=Tabela3[[#This Row],[PAPEL]]),Tabela1[Fechamento])</f>
        <v>4.6900000000000004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t="11.25" customHeight="1">
      <c r="A208" s="4" t="s">
        <v>12</v>
      </c>
      <c r="B208" s="57" t="s">
        <v>452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8" s="19">
        <f>IF(Tabela3[[#This Row],[Lucro Líquido]]&gt;0,Tabela3[[#This Row],[Lucro Líquido]]/Tabela3[[#This Row],[Patrimônio Líquido]],0)/Tabela3[[#This Row],[Ref]]*4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2.312588816579864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customHeight="1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11740863988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9" s="19">
        <f>IF(Tabela3[[#This Row],[Lucro Líquido]]&gt;0,Tabela3[[#This Row],[Lucro Líquido]]/Tabela3[[#This Row],[Patrimônio Líquido]],0)/Tabela3[[#This Row],[Ref]]*4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2.312588816579864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8.68</v>
      </c>
      <c r="AO209" s="30">
        <f>[Cotação]/[VPA]</f>
        <v>0.17926694845031463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A.A.]&gt;=5%,SUMPRODUCT(N([Nome]=Tabela3[[#This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100</v>
      </c>
      <c r="AW209" s="5">
        <f>Tabela3[[#This Row],[Ativos]]*[Lucro]</f>
        <v>0</v>
      </c>
      <c r="AX209" s="5">
        <f>SUMPRODUCT(N(Tabela1[Código]=Tabela3[[#This Row],[PAPEL]]),Tabela1[Fechamento])</f>
        <v>8.68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t="11.25" customHeight="1">
      <c r="A210" s="4" t="s">
        <v>12</v>
      </c>
      <c r="B210" s="57" t="s">
        <v>163</v>
      </c>
      <c r="C210" s="84" t="str">
        <f>LEFT([PAPEL],LEN([PAPEL])-(LEN([PAPEL])-4))</f>
        <v>ELPL</v>
      </c>
      <c r="D210" s="15">
        <v>4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10694051000</v>
      </c>
      <c r="N210" s="54">
        <v>2675679000</v>
      </c>
      <c r="O210" s="54">
        <v>2220725000</v>
      </c>
      <c r="P210" s="89">
        <v>2829462000</v>
      </c>
      <c r="Q210" s="89">
        <v>198182000</v>
      </c>
      <c r="R210" s="89">
        <f>IF(Tabela3[[#This Row],[Ativo || Passivo]]&gt;0,Tabela3[[#This Row],[Ativo || Passivo]]-Tabela3[[#This Row],[Patrimônio Líquido]],0)</f>
        <v>7864589000</v>
      </c>
      <c r="S210" s="89">
        <f>Tabela3[[#This Row],[Cotação]]*Tabela3[[#This Row],[Total Ações]]</f>
        <v>2208939308.4000001</v>
      </c>
      <c r="T210" s="132">
        <f>IF(Tabela3[[#This Row],[Passivo Circulante]]&gt;0,Tabela3[[#This Row],[Ativo Circulante]]/Tabela3[[#This Row],[Passivo Circulante]],0)</f>
        <v>1.2048673293631584</v>
      </c>
      <c r="U21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0" s="19">
        <f>IF(Tabela3[[#This Row],[Lucro Líquido]]&gt;0,Tabela3[[#This Row],[Lucro Líquido]]/Tabela3[[#This Row],[Patrimônio Líquido]],0)/Tabela3[[#This Row],[Ref]]*4</f>
        <v>7.0042290725233283E-2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0" s="19">
        <f>IF(Tabela3[[#This Row],[Dívida]]&gt;0,Tabela3[[#This Row],[Dívida]]/Tabela3[[#This Row],[Patrimônio Líquido]],0)</f>
        <v>2.7795351201041045</v>
      </c>
      <c r="Y210" s="19">
        <f>SUMPRODUCT(N([Dívida / PL]&gt;0),N(RIGHT([PAPEL],LEN([PAPEL])-(LEN([PAPEL])-1))="3"),[Dívida / PL])/SUMPRODUCT(N([Dívida / PL]&gt;0),N(RIGHT([PAPEL],LEN([PAPEL])-(LEN([PAPEL])-1))="3"))</f>
        <v>2.312588816579864</v>
      </c>
      <c r="Z210" s="13">
        <f>Tabela3[[#This Row],[Capital Social]]*20%</f>
        <v>251525863.29400003</v>
      </c>
      <c r="AA210" s="13">
        <f>IF(([Lucro Líquido]*5%)&gt;[Teto R. Legal],[Teto R. Legal],[Lucro Líquido]*5%)</f>
        <v>9909100</v>
      </c>
      <c r="AB210" s="89">
        <f>IF([Lucro Líquido]&lt;0,0,[Lucro Líquido]-[Reserva Legal])</f>
        <v>188272900</v>
      </c>
      <c r="AC210" s="89">
        <f>Tabela3[[#This Row],[Lucro Distribuir]]*[%Div]</f>
        <v>47068225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1.1842798894709552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210" s="13">
        <f>[Div Base]*[Ações]</f>
        <v>18150825.305932619</v>
      </c>
      <c r="AL210" s="13">
        <f>SUMPRODUCT(N([Nome]=Tabela3[[#This Row],[Nome]]),[Div Base]*[Ações])</f>
        <v>48349046.403254516</v>
      </c>
      <c r="AM210" s="6">
        <f>[Patrimônio Líquido]/[Total Ações]</f>
        <v>16.908069070966423</v>
      </c>
      <c r="AN210" s="48">
        <f>MAX(Tabela3[[#This Row],[Cotação 1]:[Cotação 5]])</f>
        <v>13.2</v>
      </c>
      <c r="AO210" s="44">
        <f>[Cotação]/[VPA]</f>
        <v>0.78069233953309847</v>
      </c>
      <c r="AP210" s="40">
        <f>IF(Tabela3[[#This Row],[Lucro/Ação]]&gt;0,Tabela3[[#This Row],[Cotação]]/(Tabela3[[#This Row],[Lucro/Ação]]/[Ref]*4),0)</f>
        <v>11.146013807510267</v>
      </c>
      <c r="AQ210" s="78">
        <f>[Lucro Distribuir]/[Total Ações]</f>
        <v>1.1250658949974073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210" s="14" t="str">
        <f>IF(AND([% A.A.]&gt;=5%,SUMPRODUCT(N([Nome]=Tabela3[[#This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2.064509122781185E-2</v>
      </c>
      <c r="AU210" s="19">
        <f>((1+Tabela3[[#This Row],[% Yield]])^(1/(3*Tabela3[[#This Row],[Ref]])))^(12)-1</f>
        <v>2.0645091227811774E-2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13.2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customHeight="1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4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10694051000</v>
      </c>
      <c r="N211" s="54">
        <v>2675679000</v>
      </c>
      <c r="O211" s="54">
        <v>2220725000</v>
      </c>
      <c r="P211" s="89">
        <v>2829462000</v>
      </c>
      <c r="Q211" s="89">
        <v>198182000</v>
      </c>
      <c r="R211" s="89">
        <f>IF(Tabela3[[#This Row],[Ativo || Passivo]]&gt;0,Tabela3[[#This Row],[Ativo || Passivo]]-Tabela3[[#This Row],[Patrimônio Líquido]],0)</f>
        <v>7864589000</v>
      </c>
      <c r="S211" s="89">
        <f>Tabela3[[#This Row],[Cotação]]*Tabela3[[#This Row],[Total Ações]]</f>
        <v>1300262001.99</v>
      </c>
      <c r="T211" s="132">
        <f>IF(Tabela3[[#This Row],[Passivo Circulante]]&gt;0,Tabela3[[#This Row],[Ativo Circulante]]/Tabela3[[#This Row],[Passivo Circulante]],0)</f>
        <v>1.2048673293631584</v>
      </c>
      <c r="U21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1" s="19">
        <f>IF(Tabela3[[#This Row],[Lucro Líquido]]&gt;0,Tabela3[[#This Row],[Lucro Líquido]]/Tabela3[[#This Row],[Patrimônio Líquido]],0)/Tabela3[[#This Row],[Ref]]*4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2.312588816579864</v>
      </c>
      <c r="Z211" s="6">
        <f>Tabela3[[#This Row],[Capital Social]]*20%</f>
        <v>251525863.29400003</v>
      </c>
      <c r="AA211" s="6">
        <f>IF(([Lucro Líquido]*5%)&gt;[Teto R. Legal],[Teto R. Legal],[Lucro Líquido]*5%)</f>
        <v>9909100</v>
      </c>
      <c r="AB211" s="89">
        <f>IF([Lucro Líquido]&lt;0,0,[Lucro Líquido]-[Reserva Legal])</f>
        <v>188272900</v>
      </c>
      <c r="AC211" s="89">
        <f>Tabela3[[#This Row],[Lucro Distribuir]]*[%Div]</f>
        <v>47068225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1.1842798894709552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1" s="6">
        <f>[Div Base]*[Ações]</f>
        <v>30198221.097321898</v>
      </c>
      <c r="AL211" s="6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11">
        <f>MAX(Tabela3[[#This Row],[Cotação 1]:[Cotação 5]])</f>
        <v>7.77</v>
      </c>
      <c r="AO211" s="9">
        <f>[Cotação]/[VPA]</f>
        <v>0.45954389986152838</v>
      </c>
      <c r="AP211" s="36">
        <f>IF(Tabela3[[#This Row],[Lucro/Ação]]&gt;0,Tabela3[[#This Row],[Cotação]]/(Tabela3[[#This Row],[Lucro/Ação]]/[Ref]*4),0)</f>
        <v>6.5609490366935432</v>
      </c>
      <c r="AQ211" s="78">
        <f>[Lucro Distribuir]/[Total Ações]</f>
        <v>1.1250658949974073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1" s="14" t="str">
        <f>IF(AND([% A.A.]&gt;=5%,SUMPRODUCT(N([Nome]=Tabela3[[#This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3.8580016092468097E-2</v>
      </c>
      <c r="AU211" s="19">
        <f>((1+Tabela3[[#This Row],[% Yield]])^(1/(3*Tabela3[[#This Row],[Ref]])))^(12)-1</f>
        <v>3.858001609246875E-2</v>
      </c>
      <c r="AV211" s="10">
        <f>IF([Cotação]&gt;0,($BH$1/Tabela3[[#This Row],[Cotação]]-MOD($BH$1/Tabela3[[#This Row],[Cotação]],100)),)</f>
        <v>100</v>
      </c>
      <c r="AW211" s="5">
        <f>Tabela3[[#This Row],[Ativos]]*[Lucro]</f>
        <v>29.976672503847713</v>
      </c>
      <c r="AX211" s="5">
        <f>SUMPRODUCT(N(Tabela1[Código]=Tabela3[[#This Row],[PAPEL]]),Tabela1[Fechamento])</f>
        <v>7.77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t="11.25" customHeight="1">
      <c r="A212" s="4" t="s">
        <v>12</v>
      </c>
      <c r="B212" s="57" t="s">
        <v>488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2" s="19">
        <f>IF(Tabela3[[#This Row],[Lucro Líquido]]&gt;0,Tabela3[[#This Row],[Lucro Líquido]]/Tabela3[[#This Row],[Patrimônio Líquido]],0)/Tabela3[[#This Row],[Ref]]*4</f>
        <v>5.1056522189618259E-2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2.312588816579864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A.A.]&gt;=5%,SUMPRODUCT(N([Nome]=Tabela3[[#This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t="11.25" customHeight="1">
      <c r="A213" s="4" t="s">
        <v>12</v>
      </c>
      <c r="B213" s="57" t="s">
        <v>165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202839491.16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3" s="19">
        <f>IF(Tabela3[[#This Row],[Lucro Líquido]]&gt;0,Tabela3[[#This Row],[Lucro Líquido]]/Tabela3[[#This Row],[Patrimônio Líquido]],0)/Tabela3[[#This Row],[Ref]]*4</f>
        <v>5.1056522189618259E-2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2.312588816579864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5.49</v>
      </c>
      <c r="AO213" s="44">
        <f>[Cotação]/[VPA]</f>
        <v>0.30167434015637018</v>
      </c>
      <c r="AP213" s="40">
        <f>IF(Tabela3[[#This Row],[Lucro/Ação]]&gt;0,Tabela3[[#This Row],[Cotação]]/(Tabela3[[#This Row],[Lucro/Ação]]/[Ref]*4),0)</f>
        <v>5.9086347290946524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3.2129442462965264E-2</v>
      </c>
      <c r="AU213" s="19">
        <f>((1+Tabela3[[#This Row],[% Yield]])^(1/(3*Tabela3[[#This Row],[Ref]])))^(12)-1</f>
        <v>4.3067040524799705E-2</v>
      </c>
      <c r="AV213" s="14">
        <f>IF([Cotação]&gt;0,($BH$1/Tabela3[[#This Row],[Cotação]]-MOD($BH$1/Tabela3[[#This Row],[Cotação]],100)),)</f>
        <v>100</v>
      </c>
      <c r="AW213" s="17">
        <f>Tabela3[[#This Row],[Ativos]]*[Lucro]</f>
        <v>17.639063912167931</v>
      </c>
      <c r="AX213" s="5">
        <f>SUMPRODUCT(N(Tabela1[Código]=Tabela3[[#This Row],[PAPEL]]),Tabela1[Fechamento])</f>
        <v>5.49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customHeight="1">
      <c r="A214" s="3" t="s">
        <v>1276</v>
      </c>
      <c r="B214" s="58" t="s">
        <v>1277</v>
      </c>
      <c r="C214" s="16" t="str">
        <f>LEFT([PAPEL],LEN([PAPEL])-(LEN([PAPEL])-4))</f>
        <v>EMBR</v>
      </c>
      <c r="D214" s="16">
        <v>4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>
        <v>20534126000</v>
      </c>
      <c r="N214" s="54">
        <v>10320011000</v>
      </c>
      <c r="O214" s="54">
        <v>5550587000</v>
      </c>
      <c r="P214" s="91">
        <v>8277255000</v>
      </c>
      <c r="Q214" s="73">
        <v>777689000</v>
      </c>
      <c r="R214" s="73">
        <f>IF(Tabela3[[#This Row],[Ativo || Passivo]]&gt;0,Tabela3[[#This Row],[Ativo || Passivo]]-Tabela3[[#This Row],[Patrimônio Líquido]],0)</f>
        <v>12256871000</v>
      </c>
      <c r="S214" s="73">
        <f>Tabela3[[#This Row],[Cotação]]*Tabela3[[#This Row],[Total Ações]]</f>
        <v>15090677596.719999</v>
      </c>
      <c r="T214" s="37">
        <f>IF(Tabela3[[#This Row],[Passivo Circulante]]&gt;0,Tabela3[[#This Row],[Ativo Circulante]]/Tabela3[[#This Row],[Passivo Circulante]],0)</f>
        <v>1.8592647948766501</v>
      </c>
      <c r="U2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4" s="18">
        <f>IF(Tabela3[[#This Row],[Lucro Líquido]]&gt;0,Tabela3[[#This Row],[Lucro Líquido]]/Tabela3[[#This Row],[Patrimônio Líquido]],0)/Tabela3[[#This Row],[Ref]]*4</f>
        <v>9.395494037576467E-2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4" s="18">
        <f>IF(Tabela3[[#This Row],[Dívida]]&gt;0,Tabela3[[#This Row],[Dívida]]/Tabela3[[#This Row],[Patrimônio Líquido]],0)</f>
        <v>1.4807893438102366</v>
      </c>
      <c r="Y214" s="18">
        <f>SUMPRODUCT(N([Dívida / PL]&gt;0),N(RIGHT([PAPEL],LEN([PAPEL])-(LEN([PAPEL])-1))="3"),[Dívida / PL])/SUMPRODUCT(N([Dívida / PL]&gt;0),N(RIGHT([PAPEL],LEN([PAPEL])-(LEN([PAPEL])-1))="3"))</f>
        <v>2.312588816579864</v>
      </c>
      <c r="Z214" s="7">
        <f>Tabela3[[#This Row],[Capital Social]]*20%</f>
        <v>957923410.48400009</v>
      </c>
      <c r="AA214" s="47">
        <f>IF(([Lucro Líquido]*5%)&gt;[Teto R. Legal],[Teto R. Legal],[Lucro Líquido]*5%)</f>
        <v>38884450</v>
      </c>
      <c r="AB214" s="47">
        <f>IF([Lucro Líquido]&lt;0,0,[Lucro Líquido]-[Reserva Legal])</f>
        <v>738804550</v>
      </c>
      <c r="AC214" s="47">
        <f>Tabela3[[#This Row],[Lucro Distribuir]]*[%Div]</f>
        <v>184701137.5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1.050271051012639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4" s="7">
        <f>[Div Base]*[Ações]</f>
        <v>184701137.5</v>
      </c>
      <c r="AL214" s="120">
        <f>SUMPRODUCT(N([Nome]=Tabela3[[#This Row],[Nome]]),[Div Base]*[Ações])</f>
        <v>184701137.5</v>
      </c>
      <c r="AM214" s="5">
        <f>[Patrimônio Líquido]/[Total Ações]</f>
        <v>11.17845476578635</v>
      </c>
      <c r="AN214" s="52">
        <f>MAX(Tabela3[[#This Row],[Cotação 1]:[Cotação 5]])</f>
        <v>20.38</v>
      </c>
      <c r="AO214" s="53">
        <f>[Cotação]/[VPA]</f>
        <v>1.8231500173330411</v>
      </c>
      <c r="AP214" s="37">
        <f>IF(Tabela3[[#This Row],[Lucro/Ação]]&gt;0,Tabela3[[#This Row],[Cotação]]/(Tabela3[[#This Row],[Lucro/Ação]]/[Ref]*4),0)</f>
        <v>19.404514653955502</v>
      </c>
      <c r="AQ214" s="85">
        <f>[Lucro Distribuir]/[Total Ações]</f>
        <v>0.99775749846200712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1.223941975542207E-2</v>
      </c>
      <c r="AU214" s="22">
        <f>((1+Tabela3[[#This Row],[% Yield]])^(1/(3*Tabela3[[#This Row],[Ref]])))^(12)-1</f>
        <v>1.223941975542342E-2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20.38</v>
      </c>
    </row>
    <row r="215" spans="1:54" ht="11.25" customHeight="1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4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>
        <v>5814601000</v>
      </c>
      <c r="N215" s="55">
        <v>1048372000</v>
      </c>
      <c r="O215" s="55">
        <v>662914000</v>
      </c>
      <c r="P215" s="89">
        <v>4573217000</v>
      </c>
      <c r="Q215" s="89">
        <v>375768000</v>
      </c>
      <c r="R215" s="89">
        <f>IF(Tabela3[[#This Row],[Ativo || Passivo]]&gt;0,Tabela3[[#This Row],[Ativo || Passivo]]-Tabela3[[#This Row],[Patrimônio Líquido]],0)</f>
        <v>1241384000</v>
      </c>
      <c r="S215" s="89">
        <f>Tabela3[[#This Row],[Cotação]]*Tabela3[[#This Row],[Total Ações]]</f>
        <v>3949485423.4799995</v>
      </c>
      <c r="T215" s="132">
        <f>IF(Tabela3[[#This Row],[Passivo Circulante]]&gt;0,Tabela3[[#This Row],[Ativo Circulante]]/Tabela3[[#This Row],[Passivo Circulante]],0)</f>
        <v>1.5814600385570377</v>
      </c>
      <c r="U21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5" s="19">
        <f>IF(Tabela3[[#This Row],[Lucro Líquido]]&gt;0,Tabela3[[#This Row],[Lucro Líquido]]/Tabela3[[#This Row],[Patrimônio Líquido]],0)/Tabela3[[#This Row],[Ref]]*4</f>
        <v>8.2167104688012832E-2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5" s="19">
        <f>IF(Tabela3[[#This Row],[Dívida]]&gt;0,Tabela3[[#This Row],[Dívida]]/Tabela3[[#This Row],[Patrimônio Líquido]],0)</f>
        <v>0.27144655501805404</v>
      </c>
      <c r="Y215" s="19">
        <f>SUMPRODUCT(N([Dívida / PL]&gt;0),N(RIGHT([PAPEL],LEN([PAPEL])-(LEN([PAPEL])-1))="3"),[Dívida / PL])/SUMPRODUCT(N([Dívida / PL]&gt;0),N(RIGHT([PAPEL],LEN([PAPEL])-(LEN([PAPEL])-1))="3"))</f>
        <v>2.312588816579864</v>
      </c>
      <c r="Z215" s="6">
        <f>Tabela3[[#This Row],[Capital Social]]*20%</f>
        <v>636543189.02400005</v>
      </c>
      <c r="AA215" s="6">
        <f>IF(([Lucro Líquido]*5%)&gt;[Teto R. Legal],[Teto R. Legal],[Lucro Líquido]*5%)</f>
        <v>18788400</v>
      </c>
      <c r="AB215" s="89">
        <f>IF([Lucro Líquido]&lt;0,0,[Lucro Líquido]-[Reserva Legal])</f>
        <v>356979600</v>
      </c>
      <c r="AC215" s="89">
        <f>Tabela3[[#This Row],[Lucro Distribuir]]*[%Div]</f>
        <v>89244900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0.78873989545078127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15" s="6">
        <f>[Div Base]*[Ações]</f>
        <v>89244900</v>
      </c>
      <c r="AL215" s="6">
        <f>SUMPRODUCT(N([Nome]=Tabela3[[#This Row],[Nome]]),[Div Base]*[Ações])</f>
        <v>89244900</v>
      </c>
      <c r="AM215" s="6">
        <f>[Patrimônio Líquido]/[Total Ações]</f>
        <v>9.5992173321137937</v>
      </c>
      <c r="AN215" s="48">
        <f>MAX(Tabela3[[#This Row],[Cotação 1]:[Cotação 5]])</f>
        <v>8.2899999999999991</v>
      </c>
      <c r="AO215" s="44">
        <f>[Cotação]/[VPA]</f>
        <v>0.86361207514972482</v>
      </c>
      <c r="AP215" s="40">
        <f>IF(Tabela3[[#This Row],[Lucro/Ação]]&gt;0,Tabela3[[#This Row],[Cotação]]/(Tabela3[[#This Row],[Lucro/Ação]]/[Ref]*4),0)</f>
        <v>10.51043575684997</v>
      </c>
      <c r="AQ215" s="78">
        <f>[Lucro Distribuir]/[Total Ações]</f>
        <v>0.74930290067824223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15" s="15" t="str">
        <f>IF(AND([% A.A.]&gt;=5%,SUMPRODUCT(N([Nome]=Tabela3[[#This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2.2596589284627332E-2</v>
      </c>
      <c r="AU215" s="19">
        <f>((1+Tabela3[[#This Row],[% Yield]])^(1/(3*Tabela3[[#This Row],[Ref]])))^(12)-1</f>
        <v>2.2596589284625823E-2</v>
      </c>
      <c r="AV215" s="14">
        <f>IF([Cotação]&gt;0,($BH$1/Tabela3[[#This Row],[Cotação]]-MOD($BH$1/Tabela3[[#This Row],[Cotação]],100)),)</f>
        <v>100</v>
      </c>
      <c r="AW215" s="17">
        <f>Tabela3[[#This Row],[Ativos]]*[Lucro]</f>
        <v>18.732572516956054</v>
      </c>
      <c r="AX215" s="5">
        <f>SUMPRODUCT(N(Tabela1[Código]=Tabela3[[#This Row],[PAPEL]]),Tabela1[Fechamento])</f>
        <v>8.2899999999999991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t="11.25" customHeight="1">
      <c r="A216" s="4" t="s">
        <v>12</v>
      </c>
      <c r="B216" s="57" t="s">
        <v>489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1093327128.1799998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6" s="19">
        <f>IF(Tabela3[[#This Row],[Lucro Líquido]]&gt;0,Tabela3[[#This Row],[Lucro Líquido]]/Tabela3[[#This Row],[Patrimônio Líquido]],0)/Tabela3[[#This Row],[Ref]]*4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2.312588816579864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1.89</v>
      </c>
      <c r="AO216" s="44">
        <f>[Cotação]/[VPA]</f>
        <v>0.40150046773111409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400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1.89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customHeight="1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13702599779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7" s="19">
        <f>IF(Tabela3[[#This Row],[Lucro Líquido]]&gt;0,Tabela3[[#This Row],[Lucro Líquido]]/Tabela3[[#This Row],[Patrimônio Líquido]],0)/Tabela3[[#This Row],[Ref]]*4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2.312588816579864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11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A.A.]&gt;=5%,SUMPRODUCT(N([Nome]=Tabela3[[#This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1.6468106683363126E-2</v>
      </c>
      <c r="AU217" s="19">
        <f>((1+Tabela3[[#This Row],[% Yield]])^(1/(3*Tabela3[[#This Row],[Ref]])))^(12)-1</f>
        <v>2.2017522870269701E-2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11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t="11.25" customHeight="1">
      <c r="A218" s="4" t="s">
        <v>12</v>
      </c>
      <c r="B218" s="57" t="s">
        <v>167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3425649944.75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8" s="19">
        <f>IF(Tabela3[[#This Row],[Lucro Líquido]]&gt;0,Tabela3[[#This Row],[Lucro Líquido]]/Tabela3[[#This Row],[Patrimônio Líquido]],0)/Tabela3[[#This Row],[Ref]]*4</f>
        <v>0.1387871407936187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2.312588816579864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2.75</v>
      </c>
      <c r="AO218" s="44">
        <f>[Cotação]/[VPA]</f>
        <v>1.8764649095058192</v>
      </c>
      <c r="AP218" s="40">
        <f>IF(Tabela3[[#This Row],[Lucro/Ação]]&gt;0,Tabela3[[#This Row],[Cotação]]/(Tabela3[[#This Row],[Lucro/Ação]]/[Ref]*4),0)</f>
        <v>13.520452246337342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1.3174485346690501E-2</v>
      </c>
      <c r="AU218" s="19">
        <f>((1+Tabela3[[#This Row],[% Yield]])^(1/(3*Tabela3[[#This Row],[Ref]])))^(12)-1</f>
        <v>1.7604438615180573E-2</v>
      </c>
      <c r="AV218" s="14">
        <f>IF([Cotação]&gt;0,($BH$1/Tabela3[[#This Row],[Cotação]]-MOD($BH$1/Tabela3[[#This Row],[Cotação]],100)),)</f>
        <v>300</v>
      </c>
      <c r="AW218" s="17">
        <f>Tabela3[[#This Row],[Ativos]]*[Lucro]</f>
        <v>10.868950411019663</v>
      </c>
      <c r="AX218" s="5">
        <f>SUMPRODUCT(N(Tabela1[Código]=Tabela3[[#This Row],[PAPEL]]),Tabela1[Fechamento])</f>
        <v>2.75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customHeight="1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2429097233.5499997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9" s="19">
        <f>IF(Tabela3[[#This Row],[Lucro Líquido]]&gt;0,Tabela3[[#This Row],[Lucro Líquido]]/Tabela3[[#This Row],[Patrimônio Líquido]],0)/Tabela3[[#This Row],[Ref]]*4</f>
        <v>0.1387871407936187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2.312588816579864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1.95</v>
      </c>
      <c r="AO219" s="44">
        <f>[Cotação]/[VPA]</f>
        <v>1.3305842085586717</v>
      </c>
      <c r="AP219" s="40">
        <f>IF(Tabela3[[#This Row],[Lucro/Ação]]&gt;0,Tabela3[[#This Row],[Cotação]]/(Tabela3[[#This Row],[Lucro/Ação]]/[Ref]*4),0)</f>
        <v>9.5872297746755706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1.8579402411999422E-2</v>
      </c>
      <c r="AU219" s="19">
        <f>((1+Tabela3[[#This Row],[% Yield]])^(1/(3*Tabela3[[#This Row],[Ref]])))^(12)-1</f>
        <v>2.4848932081888986E-2</v>
      </c>
      <c r="AV219" s="14">
        <f>IF([Cotação]&gt;0,($BH$1/Tabela3[[#This Row],[Cotação]]-MOD($BH$1/Tabela3[[#This Row],[Cotação]],100)),)</f>
        <v>400</v>
      </c>
      <c r="AW219" s="17">
        <f>Tabela3[[#This Row],[Ativos]]*[Lucro]</f>
        <v>14.49193388135955</v>
      </c>
      <c r="AX219" s="5">
        <f>SUMPRODUCT(N(Tabela1[Código]=Tabela3[[#This Row],[PAPEL]]),Tabela1[Fechamento])</f>
        <v>1.95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t="11.25" customHeight="1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4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>
        <v>3615568000</v>
      </c>
      <c r="N220" s="55">
        <v>1292445000</v>
      </c>
      <c r="O220" s="55">
        <v>591107000</v>
      </c>
      <c r="P220" s="89">
        <v>1381058000</v>
      </c>
      <c r="Q220" s="89">
        <v>192247000</v>
      </c>
      <c r="R220" s="89">
        <f>IF(Tabela3[[#This Row],[Ativo || Passivo]]&gt;0,Tabela3[[#This Row],[Ativo || Passivo]]-Tabela3[[#This Row],[Patrimônio Líquido]],0)</f>
        <v>2234510000</v>
      </c>
      <c r="S220" s="89">
        <f>Tabela3[[#This Row],[Cotação]]*Tabela3[[#This Row],[Total Ações]]</f>
        <v>2544850434.5</v>
      </c>
      <c r="T220" s="132">
        <f>IF(Tabela3[[#This Row],[Passivo Circulante]]&gt;0,Tabela3[[#This Row],[Ativo Circulante]]/Tabela3[[#This Row],[Passivo Circulante]],0)</f>
        <v>2.1864823120010421</v>
      </c>
      <c r="U22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0" s="19">
        <f>IF(Tabela3[[#This Row],[Lucro Líquido]]&gt;0,Tabela3[[#This Row],[Lucro Líquido]]/Tabela3[[#This Row],[Patrimônio Líquido]],0)/Tabela3[[#This Row],[Ref]]*4</f>
        <v>0.13920269822121881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0" s="19">
        <f>IF(Tabela3[[#This Row],[Dívida]]&gt;0,Tabela3[[#This Row],[Dívida]]/Tabela3[[#This Row],[Patrimônio Líquido]],0)</f>
        <v>1.6179697014897274</v>
      </c>
      <c r="Y220" s="19">
        <f>SUMPRODUCT(N([Dívida / PL]&gt;0),N(RIGHT([PAPEL],LEN([PAPEL])-(LEN([PAPEL])-1))="3"),[Dívida / PL])/SUMPRODUCT(N([Dívida / PL]&gt;0),N(RIGHT([PAPEL],LEN([PAPEL])-(LEN([PAPEL])-1))="3"))</f>
        <v>2.312588816579864</v>
      </c>
      <c r="Z220" s="6">
        <f>Tabela3[[#This Row],[Capital Social]]*20%</f>
        <v>123709963.16</v>
      </c>
      <c r="AA220" s="6">
        <f>IF(([Lucro Líquido]*5%)&gt;[Teto R. Legal],[Teto R. Legal],[Lucro Líquido]*5%)</f>
        <v>9612350</v>
      </c>
      <c r="AB220" s="89">
        <f>IF([Lucro Líquido]&lt;0,0,[Lucro Líquido]-[Reserva Legal])</f>
        <v>182634650</v>
      </c>
      <c r="AC220" s="89">
        <f>Tabela3[[#This Row],[Lucro Distribuir]]*[%Div]</f>
        <v>45658662.5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1.1709248054829056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220" s="6">
        <f>[Div Base]*[Ações]</f>
        <v>44766059.725618996</v>
      </c>
      <c r="AL220" s="6">
        <f>SUMPRODUCT(N([Nome]=Tabela3[[#This Row],[Nome]]),[Div Base]*[Ações])</f>
        <v>45658662.5</v>
      </c>
      <c r="AM220" s="6">
        <f>[Patrimônio Líquido]/[Total Ações]</f>
        <v>8.4116530817677813</v>
      </c>
      <c r="AN220" s="48">
        <f>MAX(Tabela3[[#This Row],[Cotação 1]:[Cotação 5]])</f>
        <v>15.5</v>
      </c>
      <c r="AO220" s="44">
        <f>[Cotação]/[VPA]</f>
        <v>1.8426817950440892</v>
      </c>
      <c r="AP220" s="40">
        <f>IF(Tabela3[[#This Row],[Lucro/Ação]]&gt;0,Tabela3[[#This Row],[Cotação]]/(Tabela3[[#This Row],[Lucro/Ação]]/[Ref]*4),0)</f>
        <v>13.237399982834582</v>
      </c>
      <c r="AQ220" s="78">
        <f>[Lucro Distribuir]/[Total Ações]</f>
        <v>1.1123785652087601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220" s="15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1.7903247463856718E-2</v>
      </c>
      <c r="AU220" s="19">
        <f>((1+Tabela3[[#This Row],[% Yield]])^(1/(3*Tabela3[[#This Row],[Ref]])))^(12)-1</f>
        <v>1.7903247463857186E-2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15.5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t="11.25" customHeight="1">
      <c r="A221" s="4" t="s">
        <v>12</v>
      </c>
      <c r="B221" s="57" t="s">
        <v>475</v>
      </c>
      <c r="C221" s="82" t="str">
        <f>LEFT([PAPEL],LEN([PAPEL])-(LEN([PAPEL])-4))</f>
        <v>ENMA</v>
      </c>
      <c r="D221" s="15">
        <v>4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>
        <v>3615568000</v>
      </c>
      <c r="N221" s="55">
        <v>1292445000</v>
      </c>
      <c r="O221" s="55">
        <v>591107000</v>
      </c>
      <c r="P221" s="89">
        <v>1381058000</v>
      </c>
      <c r="Q221" s="89">
        <v>192247000</v>
      </c>
      <c r="R221" s="89">
        <f>IF(Tabela3[[#This Row],[Ativo || Passivo]]&gt;0,Tabela3[[#This Row],[Ativo || Passivo]]-Tabela3[[#This Row],[Patrimônio Líquido]],0)</f>
        <v>2234510000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2.1864823120010421</v>
      </c>
      <c r="U22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1" s="19">
        <f>IF(Tabela3[[#This Row],[Lucro Líquido]]&gt;0,Tabela3[[#This Row],[Lucro Líquido]]/Tabela3[[#This Row],[Patrimônio Líquido]],0)/Tabela3[[#This Row],[Ref]]*4</f>
        <v>0.13920269822121881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1" s="19">
        <f>IF(Tabela3[[#This Row],[Dívida]]&gt;0,Tabela3[[#This Row],[Dívida]]/Tabela3[[#This Row],[Patrimônio Líquido]],0)</f>
        <v>1.6179697014897274</v>
      </c>
      <c r="Y221" s="19">
        <f>SUMPRODUCT(N([Dívida / PL]&gt;0),N(RIGHT([PAPEL],LEN([PAPEL])-(LEN([PAPEL])-1))="3"),[Dívida / PL])/SUMPRODUCT(N([Dívida / PL]&gt;0),N(RIGHT([PAPEL],LEN([PAPEL])-(LEN([PAPEL])-1))="3"))</f>
        <v>2.312588816579864</v>
      </c>
      <c r="Z221" s="6">
        <f>Tabela3[[#This Row],[Capital Social]]*20%</f>
        <v>123709963.16</v>
      </c>
      <c r="AA221" s="6">
        <f>IF(([Lucro Líquido]*5%)&gt;[Teto R. Legal],[Teto R. Legal],[Lucro Líquido]*5%)</f>
        <v>9612350</v>
      </c>
      <c r="AB221" s="6">
        <f>IF([Lucro Líquido]&lt;0,0,[Lucro Líquido]-[Reserva Legal])</f>
        <v>182634650</v>
      </c>
      <c r="AC221" s="6">
        <f>Tabela3[[#This Row],[Lucro Distribuir]]*[%Div]</f>
        <v>45658662.5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1.1709248054829056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45658662.5</v>
      </c>
      <c r="AM221" s="6">
        <f>[Patrimônio Líquido]/[Total Ações]</f>
        <v>8.4116530817677813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1.1123785652087601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customHeight="1">
      <c r="A222" s="4" t="s">
        <v>12</v>
      </c>
      <c r="B222" s="57" t="s">
        <v>476</v>
      </c>
      <c r="C222" s="82" t="str">
        <f>LEFT([PAPEL],LEN([PAPEL])-(LEN([PAPEL])-4))</f>
        <v>ENMA</v>
      </c>
      <c r="D222" s="15">
        <v>4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>
        <v>3615568000</v>
      </c>
      <c r="N222" s="55">
        <v>1292445000</v>
      </c>
      <c r="O222" s="55">
        <v>591107000</v>
      </c>
      <c r="P222" s="89">
        <v>1381058000</v>
      </c>
      <c r="Q222" s="89">
        <v>192247000</v>
      </c>
      <c r="R222" s="89">
        <f>IF(Tabela3[[#This Row],[Ativo || Passivo]]&gt;0,Tabela3[[#This Row],[Ativo || Passivo]]-Tabela3[[#This Row],[Patrimônio Líquido]],0)</f>
        <v>2234510000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2.1864823120010421</v>
      </c>
      <c r="U22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2" s="19">
        <f>IF(Tabela3[[#This Row],[Lucro Líquido]]&gt;0,Tabela3[[#This Row],[Lucro Líquido]]/Tabela3[[#This Row],[Patrimônio Líquido]],0)/Tabela3[[#This Row],[Ref]]*4</f>
        <v>0.13920269822121881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2" s="19">
        <f>IF(Tabela3[[#This Row],[Dívida]]&gt;0,Tabela3[[#This Row],[Dívida]]/Tabela3[[#This Row],[Patrimônio Líquido]],0)</f>
        <v>1.6179697014897274</v>
      </c>
      <c r="Y222" s="19">
        <f>SUMPRODUCT(N([Dívida / PL]&gt;0),N(RIGHT([PAPEL],LEN([PAPEL])-(LEN([PAPEL])-1))="3"),[Dívida / PL])/SUMPRODUCT(N([Dívida / PL]&gt;0),N(RIGHT([PAPEL],LEN([PAPEL])-(LEN([PAPEL])-1))="3"))</f>
        <v>2.312588816579864</v>
      </c>
      <c r="Z222" s="6">
        <f>Tabela3[[#This Row],[Capital Social]]*20%</f>
        <v>123709963.16</v>
      </c>
      <c r="AA222" s="6">
        <f>IF(([Lucro Líquido]*5%)&gt;[Teto R. Legal],[Teto R. Legal],[Lucro Líquido]*5%)</f>
        <v>9612350</v>
      </c>
      <c r="AB222" s="6">
        <f>IF([Lucro Líquido]&lt;0,0,[Lucro Líquido]-[Reserva Legal])</f>
        <v>182634650</v>
      </c>
      <c r="AC222" s="6">
        <f>Tabela3[[#This Row],[Lucro Distribuir]]*[%Div]</f>
        <v>45658662.5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1.1709248054829056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45658662.5</v>
      </c>
      <c r="AM222" s="6">
        <f>[Patrimônio Líquido]/[Total Ações]</f>
        <v>8.4116530817677813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1.1123785652087601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t="11.25" customHeight="1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4</v>
      </c>
      <c r="E223" s="5">
        <v>1977276000</v>
      </c>
      <c r="F223" s="56">
        <v>198447352</v>
      </c>
      <c r="G223" s="86">
        <v>0.25</v>
      </c>
      <c r="H223" s="16"/>
      <c r="J223" s="18"/>
      <c r="K223" s="87"/>
      <c r="L223" s="87"/>
      <c r="M223" s="54">
        <v>2390881000</v>
      </c>
      <c r="N223" s="54">
        <v>671663000</v>
      </c>
      <c r="O223" s="54">
        <v>36658000</v>
      </c>
      <c r="P223" s="90">
        <v>2354173000</v>
      </c>
      <c r="Q223" s="90">
        <v>68637000</v>
      </c>
      <c r="R223" s="90">
        <f>IF(Tabela3[[#This Row],[Ativo || Passivo]]&gt;0,Tabela3[[#This Row],[Ativo || Passivo]]-Tabela3[[#This Row],[Patrimônio Líquido]],0)</f>
        <v>36708000</v>
      </c>
      <c r="S223" s="90">
        <f>Tabela3[[#This Row],[Cotação]]*Tabela3[[#This Row],[Total Ações]]</f>
        <v>3770499688</v>
      </c>
      <c r="T223" s="131">
        <f>IF(Tabela3[[#This Row],[Passivo Circulante]]&gt;0,Tabela3[[#This Row],[Ativo Circulante]]/Tabela3[[#This Row],[Passivo Circulante]],0)</f>
        <v>18.322412570243877</v>
      </c>
      <c r="U223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3" s="49">
        <f>IF(Tabela3[[#This Row],[Lucro Líquido]]&gt;0,Tabela3[[#This Row],[Lucro Líquido]]/Tabela3[[#This Row],[Patrimônio Líquido]],0)/Tabela3[[#This Row],[Ref]]*4</f>
        <v>2.9155461387077329E-2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3" s="49">
        <f>IF(Tabela3[[#This Row],[Dívida]]&gt;0,Tabela3[[#This Row],[Dívida]]/Tabela3[[#This Row],[Patrimônio Líquido]],0)</f>
        <v>1.5592736812460256E-2</v>
      </c>
      <c r="Y223" s="49">
        <f>SUMPRODUCT(N([Dívida / PL]&gt;0),N(RIGHT([PAPEL],LEN([PAPEL])-(LEN([PAPEL])-1))="3"),[Dívida / PL])/SUMPRODUCT(N([Dívida / PL]&gt;0),N(RIGHT([PAPEL],LEN([PAPEL])-(LEN([PAPEL])-1))="3"))</f>
        <v>2.312588816579864</v>
      </c>
      <c r="Z223" s="28">
        <f>Tabela3[[#This Row],[Capital Social]]*20%</f>
        <v>395455200</v>
      </c>
      <c r="AA223" s="28">
        <f>IF(([Lucro Líquido]*5%)&gt;[Teto R. Legal],[Teto R. Legal],[Lucro Líquido]*5%)</f>
        <v>3431850</v>
      </c>
      <c r="AB223" s="90">
        <f>IF([Lucro Líquido]&lt;0,0,[Lucro Líquido]-[Reserva Legal])</f>
        <v>65205150</v>
      </c>
      <c r="AC223" s="90">
        <f>Tabela3[[#This Row],[Lucro Distribuir]]*[%Div]</f>
        <v>16301287.5</v>
      </c>
      <c r="AD223" s="56">
        <f>SUMPRODUCT(N([Nome]=Tabela3[[#This Row],[Nome]]),[Ações])</f>
        <v>198447352</v>
      </c>
      <c r="AE223" s="28">
        <f>[Capital Social]/[Total Ações]</f>
        <v>9.9637308337578627</v>
      </c>
      <c r="AF223" s="79">
        <f>Tabela3[[#This Row],[Lucro Líquido]]/Tabela3[[#This Row],[Total Ações]]</f>
        <v>0.34587007238070883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223" s="28">
        <f>[Div Base]*[Ações]</f>
        <v>16301287.499999998</v>
      </c>
      <c r="AL223" s="28">
        <f>SUMPRODUCT(N([Nome]=Tabela3[[#This Row],[Nome]]),[Div Base]*[Ações])</f>
        <v>16301287.499999998</v>
      </c>
      <c r="AM223" s="28">
        <f>[Patrimônio Líquido]/[Total Ações]</f>
        <v>11.86296000563414</v>
      </c>
      <c r="AN223" s="29">
        <f>MAX(Tabela3[[#This Row],[Cotação 1]:[Cotação 5]])</f>
        <v>19</v>
      </c>
      <c r="AO223" s="30">
        <f>[Cotação]/[VPA]</f>
        <v>1.6016238772596576</v>
      </c>
      <c r="AP223" s="35">
        <f>IF(Tabela3[[#This Row],[Lucro/Ação]]&gt;0,Tabela3[[#This Row],[Cotação]]/(Tabela3[[#This Row],[Lucro/Ação]]/[Ref]*4),0)</f>
        <v>54.933923219254922</v>
      </c>
      <c r="AQ223" s="78">
        <f>[Lucro Distribuir]/[Total Ações]</f>
        <v>0.32857656876167335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223" s="25" t="str">
        <f>IF(AND([% A.A.]&gt;=5%,SUMPRODUCT(N([Nome]=Tabela3[[#This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4.3233759047588598E-3</v>
      </c>
      <c r="AU223" s="49">
        <f>((1+Tabela3[[#This Row],[% Yield]])^(1/(3*Tabela3[[#This Row],[Ref]])))^(12)-1</f>
        <v>4.3233759047578424E-3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19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customHeight="1">
      <c r="A224" s="3" t="s">
        <v>925</v>
      </c>
      <c r="B224" s="58" t="s">
        <v>932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4" s="18">
        <f>IF(Tabela3[[#This Row],[Lucro Líquido]]&gt;0,Tabela3[[#This Row],[Lucro Líquido]]/Tabela3[[#This Row],[Patrimônio Líquido]],0)/Tabela3[[#This Row],[Ref]]*4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2.312588816579864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 ht="11.25" customHeight="1">
      <c r="A225" s="3" t="s">
        <v>925</v>
      </c>
      <c r="B225" s="58" t="s">
        <v>933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3395065.8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5" s="18">
        <f>IF(Tabela3[[#This Row],[Lucro Líquido]]&gt;0,Tabela3[[#This Row],[Lucro Líquido]]/Tabela3[[#This Row],[Patrimônio Líquido]],0)/Tabela3[[#This Row],[Ref]]*4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2.312588816579864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0.21</v>
      </c>
      <c r="AO225" s="53">
        <f>[Cotação]/[VPA]</f>
        <v>-1.3748100004859322E-2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4200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0.21</v>
      </c>
      <c r="BB225" s="7">
        <f>SUMPRODUCT(N(Tabela17683[Código]=Tabela3[[#This Row],[PAPEL]]),Tabela17683[Fechamento])</f>
        <v>0</v>
      </c>
    </row>
    <row r="226" spans="1:54" ht="11.25" customHeight="1">
      <c r="A226" s="4" t="s">
        <v>331</v>
      </c>
      <c r="B226" s="57" t="s">
        <v>330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760750000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6" s="19">
        <f>IF(Tabela3[[#This Row],[Lucro Líquido]]&gt;0,Tabela3[[#This Row],[Lucro Líquido]]/Tabela3[[#This Row],[Patrimônio Líquido]],0)/Tabela3[[#This Row],[Ref]]*4</f>
        <v>0.20413177173761002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2.312588816579864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8.5</v>
      </c>
      <c r="AO226" s="44">
        <f>[Cotação]/[VPA]</f>
        <v>1.5129698758400141</v>
      </c>
      <c r="AP226" s="40">
        <f>IF(Tabela3[[#This Row],[Lucro/Ação]]&gt;0,Tabela3[[#This Row],[Cotação]]/(Tabela3[[#This Row],[Lucro/Ação]]/[Ref]*4),0)</f>
        <v>7.4117314662059464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2.403284587578048E-2</v>
      </c>
      <c r="AU226" s="19">
        <f>((1+Tabela3[[#This Row],[% Yield]])^(1/(3*Tabela3[[#This Row],[Ref]])))^(12)-1</f>
        <v>3.2171466400846116E-2</v>
      </c>
      <c r="AV226" s="14">
        <f>IF([Cotação]&gt;0,($BH$1/Tabela3[[#This Row],[Cotação]]-MOD($BH$1/Tabela3[[#This Row],[Cotação]],100)),)</f>
        <v>100</v>
      </c>
      <c r="AW226" s="17">
        <f>Tabela3[[#This Row],[Ativos]]*[Lucro]</f>
        <v>20.427918994413407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8.5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t="11.25" customHeight="1">
      <c r="A227" s="4" t="s">
        <v>311</v>
      </c>
      <c r="B227" s="57" t="s">
        <v>675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7" s="19">
        <f>IF(Tabela3[[#This Row],[Lucro Líquido]]&gt;0,Tabela3[[#This Row],[Lucro Líquido]]/Tabela3[[#This Row],[Patrimônio Líquido]],0)/Tabela3[[#This Row],[Ref]]*4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2.312588816579864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100</v>
      </c>
      <c r="AW227" s="17">
        <f>Tabela3[[#This Row],[Ativos]]*[Lucro]</f>
        <v>22.077565330931527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customHeight="1">
      <c r="A228" s="4" t="s">
        <v>311</v>
      </c>
      <c r="B228" s="57" t="s">
        <v>313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500143982.40000004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8" s="19">
        <f>IF(Tabela3[[#This Row],[Lucro Líquido]]&gt;0,Tabela3[[#This Row],[Lucro Líquido]]/Tabela3[[#This Row],[Patrimônio Líquido]],0)/Tabela3[[#This Row],[Ref]]*4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2.312588816579864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5.4</v>
      </c>
      <c r="AO228" s="44">
        <f>[Cotação]/[VPA]</f>
        <v>0.43892800967469886</v>
      </c>
      <c r="AP228" s="40">
        <f>IF(Tabela3[[#This Row],[Lucro/Ação]]&gt;0,Tabela3[[#This Row],[Cotação]]/(Tabela3[[#This Row],[Lucro/Ação]]/[Ref]*4),0)</f>
        <v>5.6283223695167788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4.4972818328320417E-2</v>
      </c>
      <c r="AU228" s="19">
        <f>((1+Tabela3[[#This Row],[% Yield]])^(1/(3*Tabela3[[#This Row],[Ref]])))^(12)-1</f>
        <v>4.4972818328320674E-2</v>
      </c>
      <c r="AV228" s="14">
        <f>IF([Cotação]&gt;0,($BH$1/Tabela3[[#This Row],[Cotação]]-MOD($BH$1/Tabela3[[#This Row],[Cotação]],100)),)</f>
        <v>100</v>
      </c>
      <c r="AW228" s="17">
        <f>Tabela3[[#This Row],[Ativos]]*[Lucro]</f>
        <v>24.285321897293027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5.4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t="11.25" customHeight="1">
      <c r="A229" s="3" t="s">
        <v>1060</v>
      </c>
      <c r="B229" s="57" t="s">
        <v>1072</v>
      </c>
      <c r="C229" s="16" t="str">
        <f>LEFT([PAPEL],LEN([PAPEL])-(LEN([PAPEL])-4))</f>
        <v>EVEN</v>
      </c>
      <c r="D229" s="16">
        <v>4</v>
      </c>
      <c r="E229" s="5">
        <v>1083266389.5</v>
      </c>
      <c r="F229" s="56">
        <v>233293408</v>
      </c>
      <c r="G229" s="81">
        <v>0.25</v>
      </c>
      <c r="H229" s="87"/>
      <c r="J229" s="18"/>
      <c r="K229" s="16"/>
      <c r="L229" s="87"/>
      <c r="M229" s="54">
        <v>2897456000</v>
      </c>
      <c r="N229" s="54">
        <v>46386000</v>
      </c>
      <c r="O229" s="54">
        <v>254883000</v>
      </c>
      <c r="P229" s="91">
        <v>1988168000</v>
      </c>
      <c r="Q229" s="73">
        <v>282886000</v>
      </c>
      <c r="R229" s="73">
        <f>IF(Tabela3[[#This Row],[Ativo || Passivo]]&gt;0,Tabela3[[#This Row],[Ativo || Passivo]]-Tabela3[[#This Row],[Patrimônio Líquido]],0)</f>
        <v>909288000</v>
      </c>
      <c r="S229" s="73">
        <f>Tabela3[[#This Row],[Cotação]]*Tabela3[[#This Row],[Total Ações]]</f>
        <v>1644718526.3999999</v>
      </c>
      <c r="T229" s="37">
        <f>IF(Tabela3[[#This Row],[Passivo Circulante]]&gt;0,Tabela3[[#This Row],[Ativo Circulante]]/Tabela3[[#This Row],[Passivo Circulante]],0)</f>
        <v>0.18198938336413178</v>
      </c>
      <c r="U22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9" s="18">
        <f>IF(Tabela3[[#This Row],[Lucro Líquido]]&gt;0,Tabela3[[#This Row],[Lucro Líquido]]/Tabela3[[#This Row],[Patrimônio Líquido]],0)/Tabela3[[#This Row],[Ref]]*4</f>
        <v>0.1422847566201649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29" s="18">
        <f>IF(Tabela3[[#This Row],[Dívida]]&gt;0,Tabela3[[#This Row],[Dívida]]/Tabela3[[#This Row],[Patrimônio Líquido]],0)</f>
        <v>0.45734968071108678</v>
      </c>
      <c r="Y229" s="18">
        <f>SUMPRODUCT(N([Dívida / PL]&gt;0),N(RIGHT([PAPEL],LEN([PAPEL])-(LEN([PAPEL])-1))="3"),[Dívida / PL])/SUMPRODUCT(N([Dívida / PL]&gt;0),N(RIGHT([PAPEL],LEN([PAPEL])-(LEN([PAPEL])-1))="3"))</f>
        <v>2.312588816579864</v>
      </c>
      <c r="Z229" s="7">
        <f>Tabela3[[#This Row],[Capital Social]]*20%</f>
        <v>216653277.90000001</v>
      </c>
      <c r="AA229" s="47">
        <f>IF(([Lucro Líquido]*5%)&gt;[Teto R. Legal],[Teto R. Legal],[Lucro Líquido]*5%)</f>
        <v>14144300</v>
      </c>
      <c r="AB229" s="47">
        <f>IF([Lucro Líquido]&lt;0,0,[Lucro Líquido]-[Reserva Legal])</f>
        <v>268741700</v>
      </c>
      <c r="AC229" s="47">
        <f>Tabela3[[#This Row],[Lucro Distribuir]]*[%Div]</f>
        <v>67185425</v>
      </c>
      <c r="AD229" s="56">
        <f>SUMPRODUCT(N([Nome]=Tabela3[[#This Row],[Nome]]),[Ações])</f>
        <v>233293408</v>
      </c>
      <c r="AE229" s="85">
        <f>[Capital Social]/[Total Ações]</f>
        <v>4.6433647602250296</v>
      </c>
      <c r="AF229" s="85">
        <f>Tabela3[[#This Row],[Lucro Líquido]]/Tabela3[[#This Row],[Total Ações]]</f>
        <v>1.2125760535848489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29" s="7">
        <f>[Div Base]*[Ações]</f>
        <v>67185425</v>
      </c>
      <c r="AL229" s="120">
        <f>SUMPRODUCT(N([Nome]=Tabela3[[#This Row],[Nome]]),[Div Base]*[Ações])</f>
        <v>67185425</v>
      </c>
      <c r="AM229" s="5">
        <f>[Patrimônio Líquido]/[Total Ações]</f>
        <v>8.5221782177402972</v>
      </c>
      <c r="AN229" s="52">
        <f>MAX(Tabela3[[#This Row],[Cotação 1]:[Cotação 5]])</f>
        <v>7.05</v>
      </c>
      <c r="AO229" s="53">
        <f>[Cotação]/[VPA]</f>
        <v>0.82725329368544309</v>
      </c>
      <c r="AP229" s="37">
        <f>IF(Tabela3[[#This Row],[Lucro/Ação]]&gt;0,Tabela3[[#This Row],[Cotação]]/(Tabela3[[#This Row],[Lucro/Ação]]/[Ref]*4),0)</f>
        <v>5.8140683045467076</v>
      </c>
      <c r="AQ229" s="85">
        <f>[Lucro Distribuir]/[Total Ações]</f>
        <v>1.1519472509056063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29" s="10" t="str">
        <f>IF(AND([% A.A.]&gt;=5%,SUMPRODUCT(N([Nome]=Tabela3[[#This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4.0849193294525049E-2</v>
      </c>
      <c r="AU229" s="22">
        <f>((1+Tabela3[[#This Row],[% Yield]])^(1/(3*Tabela3[[#This Row],[Ref]])))^(12)-1</f>
        <v>4.0849193294523189E-2</v>
      </c>
      <c r="AV229" s="10">
        <f>IF([Cotação]&gt;0,($BH$1/Tabela3[[#This Row],[Cotação]]-MOD($BH$1/Tabela3[[#This Row],[Cotação]],100)),)</f>
        <v>100</v>
      </c>
      <c r="AW229" s="7">
        <f>Tabela3[[#This Row],[Ativos]]*[Lucro]</f>
        <v>28.79868127264016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7.05</v>
      </c>
      <c r="BB229" s="7">
        <f>SUMPRODUCT(N(Tabela17683[Código]=Tabela3[[#This Row],[PAPEL]]),Tabela17683[Fechamento])</f>
        <v>0</v>
      </c>
    </row>
    <row r="230" spans="1:54" ht="11.25" customHeight="1">
      <c r="A230" s="3" t="s">
        <v>1060</v>
      </c>
      <c r="B230" s="58" t="s">
        <v>1073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>
        <v>2332089000</v>
      </c>
      <c r="N230" s="54">
        <v>239746000</v>
      </c>
      <c r="O230" s="54">
        <v>247157000</v>
      </c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250931000</v>
      </c>
      <c r="S230" s="73">
        <f>Tabela3[[#This Row],[Cotação]]*Tabela3[[#This Row],[Total Ações]]</f>
        <v>3901394350.8000002</v>
      </c>
      <c r="T230" s="37">
        <f>IF(Tabela3[[#This Row],[Passivo Circulante]]&gt;0,Tabela3[[#This Row],[Ativo Circulante]]/Tabela3[[#This Row],[Passivo Circulante]],0)</f>
        <v>0.97001501070169971</v>
      </c>
      <c r="U23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0" s="18">
        <f>IF(Tabela3[[#This Row],[Lucro Líquido]]&gt;0,Tabela3[[#This Row],[Lucro Líquido]]/Tabela3[[#This Row],[Patrimônio Líquido]],0)/Tabela3[[#This Row],[Ref]]*4</f>
        <v>0.27324338981791224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0" s="18">
        <f>IF(Tabela3[[#This Row],[Dívida]]&gt;0,Tabela3[[#This Row],[Dívida]]/Tabela3[[#This Row],[Patrimônio Líquido]],0)</f>
        <v>0.12057277727111541</v>
      </c>
      <c r="Y230" s="18">
        <f>SUMPRODUCT(N([Dívida / PL]&gt;0),N(RIGHT([PAPEL],LEN([PAPEL])-(LEN([PAPEL])-1))="3"),[Dívida / PL])/SUMPRODUCT(N([Dívida / PL]&gt;0),N(RIGHT([PAPEL],LEN([PAPEL])-(LEN([PAPEL])-1))="3"))</f>
        <v>2.312588816579864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26.59</v>
      </c>
      <c r="AO230" s="53">
        <f>[Cotação]/[VPA]</f>
        <v>1.8746266985976077</v>
      </c>
      <c r="AP230" s="37">
        <f>IF(Tabela3[[#This Row],[Lucro/Ação]]&gt;0,Tabela3[[#This Row],[Cotação]]/(Tabela3[[#This Row],[Lucro/Ação]]/[Ref]*4),0)</f>
        <v>6.8606479367967417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2.5963291170304117E-2</v>
      </c>
      <c r="AU230" s="22">
        <f>((1+Tabela3[[#This Row],[% Yield]])^(1/(3*Tabela3[[#This Row],[Ref]])))^(12)-1</f>
        <v>3.4766664834036343E-2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26.59</v>
      </c>
      <c r="BB230" s="7">
        <f>SUMPRODUCT(N(Tabela17683[Código]=Tabela3[[#This Row],[PAPEL]]),Tabela17683[Fechamento])</f>
        <v>0</v>
      </c>
    </row>
    <row r="231" spans="1:54" ht="11.25" customHeight="1">
      <c r="A231" s="4" t="s">
        <v>326</v>
      </c>
      <c r="B231" s="57" t="s">
        <v>604</v>
      </c>
      <c r="C231" s="16" t="str">
        <f>LEFT([PAPEL],LEN([PAPEL])-(LEN([PAPEL])-4))</f>
        <v>FBMC</v>
      </c>
      <c r="D231" s="16">
        <v>3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/>
      <c r="N231" s="54"/>
      <c r="O231" s="54"/>
      <c r="P231" s="91">
        <v>21037000</v>
      </c>
      <c r="Q231" s="73">
        <v>-2365000</v>
      </c>
      <c r="R231" s="73">
        <f>IF(Tabela3[[#This Row],[Ativo || Passivo]]&gt;0,Tabela3[[#This Row],[Ativo || Passivo]]-Tabela3[[#This Row],[Patrimônio Líquido]],0)</f>
        <v>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0</v>
      </c>
      <c r="U23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1" s="18">
        <f>IF(Tabela3[[#This Row],[Lucro Líquido]]&gt;0,Tabela3[[#This Row],[Lucro Líquido]]/Tabela3[[#This Row],[Patrimônio Líquido]],0)/Tabela3[[#This Row],[Ref]]*4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1" s="18">
        <f>IF(Tabela3[[#This Row],[Dívida]]&gt;0,Tabela3[[#This Row],[Dívida]]/Tabela3[[#This Row],[Patrimônio Líquido]],0)</f>
        <v>0</v>
      </c>
      <c r="Y231" s="18">
        <f>SUMPRODUCT(N([Dívida / PL]&gt;0),N(RIGHT([PAPEL],LEN([PAPEL])-(LEN([PAPEL])-1))="3"),[Dívida / PL])/SUMPRODUCT(N([Dívida / PL]&gt;0),N(RIGHT([PAPEL],LEN([PAPEL])-(LEN([PAPEL])-1))="3"))</f>
        <v>2.312588816579864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-118250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-3.2552710615349465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28.956083434042565</v>
      </c>
      <c r="AN231" s="52">
        <f>MAX(Tabela3[[#This Row],[Cotação 1]:[Cotação 5]])</f>
        <v>80</v>
      </c>
      <c r="AO231" s="53">
        <f>[Cotação]/[VPA]</f>
        <v>2.7628045824024339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t="11.25" customHeight="1">
      <c r="A232" s="4" t="s">
        <v>326</v>
      </c>
      <c r="B232" s="57" t="s">
        <v>605</v>
      </c>
      <c r="C232" s="15" t="str">
        <f>LEFT([PAPEL],LEN([PAPEL])-(LEN([PAPEL])-4))</f>
        <v>FBMC</v>
      </c>
      <c r="D232" s="15">
        <v>3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5"/>
      <c r="N232" s="55"/>
      <c r="O232" s="55"/>
      <c r="P232" s="91">
        <v>21037000</v>
      </c>
      <c r="Q232" s="73">
        <v>-2365000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17799593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2" s="18">
        <f>IF(Tabela3[[#This Row],[Lucro Líquido]]&gt;0,Tabela3[[#This Row],[Lucro Líquido]]/Tabela3[[#This Row],[Patrimônio Líquido]],0)/Tabela3[[#This Row],[Ref]]*4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2.312588816579864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-118250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-3.2552710615349465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28.956083434042565</v>
      </c>
      <c r="AN232" s="48">
        <f>MAX(Tabela3[[#This Row],[Cotação 1]:[Cotação 5]])</f>
        <v>24.5</v>
      </c>
      <c r="AO232" s="44">
        <f>[Cotação]/[VPA]</f>
        <v>0.8461089033607454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A.A.]&gt;=5%,SUMPRODUCT(N([Nome]=Tabela3[[#This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24.5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t="11.25" customHeight="1">
      <c r="A233" s="3" t="s">
        <v>232</v>
      </c>
      <c r="B233" s="57" t="s">
        <v>229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3" s="18">
        <f>IF(Tabela3[[#This Row],[Lucro Líquido]]&gt;0,Tabela3[[#This Row],[Lucro Líquido]]/Tabela3[[#This Row],[Patrimônio Líquido]],0)/Tabela3[[#This Row],[Ref]]*4</f>
        <v>5.5158676894370623E-2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2.312588816579864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customHeight="1">
      <c r="A234" s="3" t="s">
        <v>232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1068672000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4" s="18">
        <f>IF(Tabela3[[#This Row],[Lucro Líquido]]&gt;0,Tabela3[[#This Row],[Lucro Líquido]]/Tabela3[[#This Row],[Patrimônio Líquido]],0)/Tabela3[[#This Row],[Ref]]*4</f>
        <v>5.5158676894370623E-2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2.312588816579864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12.1</v>
      </c>
      <c r="AO234" s="53">
        <f>[Cotação]/[VPA]</f>
        <v>0.88545534990778152</v>
      </c>
      <c r="AP234" s="37">
        <f>IF(Tabela3[[#This Row],[Lucro/Ação]]&gt;0,Tabela3[[#This Row],[Cotação]]/(Tabela3[[#This Row],[Lucro/Ação]]/[Ref]*4),0)</f>
        <v>16.052875082617319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1.1825989960433471E-2</v>
      </c>
      <c r="AU234" s="18">
        <f>((1+Tabela3[[#This Row],[% Yield]])^(1/(3*Tabela3[[#This Row],[Ref]])))^(12)-1</f>
        <v>1.5798984014384843E-2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12.1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customHeight="1">
      <c r="A235" s="4" t="s">
        <v>647</v>
      </c>
      <c r="B235" s="57" t="s">
        <v>648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5" s="19">
        <f>IF(Tabela3[[#This Row],[Lucro Líquido]]&gt;0,Tabela3[[#This Row],[Lucro Líquido]]/Tabela3[[#This Row],[Patrimônio Líquido]],0)/Tabela3[[#This Row],[Ref]]*4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2.312588816579864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A.A.]&gt;=5%,SUMPRODUCT(N([Nome]=Tabela3[[#This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t="11.25" customHeight="1">
      <c r="A236" s="4" t="s">
        <v>19</v>
      </c>
      <c r="B236" s="57" t="s">
        <v>669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13765275953.1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6" s="19">
        <f>IF(Tabela3[[#This Row],[Lucro Líquido]]&gt;0,Tabela3[[#This Row],[Lucro Líquido]]/Tabela3[[#This Row],[Patrimônio Líquido]],0)/Tabela3[[#This Row],[Ref]]*4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2.312588816579864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24.85</v>
      </c>
      <c r="AO236" s="44">
        <f>[Cotação]/[VPA]</f>
        <v>0.95295065428287185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24.85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t="11.25" customHeight="1">
      <c r="A237" s="3" t="s">
        <v>1230</v>
      </c>
      <c r="B237" s="58" t="s">
        <v>1231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288481738.68000001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7" s="18">
        <f>IF(Tabela3[[#This Row],[Lucro Líquido]]&gt;0,Tabela3[[#This Row],[Lucro Líquido]]/Tabela3[[#This Row],[Patrimônio Líquido]],0)/Tabela3[[#This Row],[Ref]]*4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2.312588816579864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2.04</v>
      </c>
      <c r="AO237" s="53">
        <f>[Cotação]/[VPA]</f>
        <v>0.98859442335766423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400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2.04</v>
      </c>
    </row>
    <row r="238" spans="1:54" ht="11.25" customHeight="1">
      <c r="A238" s="3" t="s">
        <v>1230</v>
      </c>
      <c r="B238" s="58" t="s">
        <v>1232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240401448.90000001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8" s="18">
        <f>IF(Tabela3[[#This Row],[Lucro Líquido]]&gt;0,Tabela3[[#This Row],[Lucro Líquido]]/Tabela3[[#This Row],[Patrimônio Líquido]],0)/Tabela3[[#This Row],[Ref]]*4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2.312588816579864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1.7</v>
      </c>
      <c r="AO238" s="53">
        <f>[Cotação]/[VPA]</f>
        <v>0.82382868613138682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500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1.7</v>
      </c>
    </row>
    <row r="239" spans="1:54" ht="11.25" customHeight="1">
      <c r="A239" s="4" t="s">
        <v>726</v>
      </c>
      <c r="B239" s="57" t="s">
        <v>730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3064912711.1599998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9" s="19">
        <f>IF(Tabela3[[#This Row],[Lucro Líquido]]&gt;0,Tabela3[[#This Row],[Lucro Líquido]]/Tabela3[[#This Row],[Patrimônio Líquido]],0)/Tabela3[[#This Row],[Ref]]*4</f>
        <v>4.7809198592634661E-2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2.312588816579864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19.61</v>
      </c>
      <c r="AO239" s="44">
        <f>[Cotação]/[VPA]</f>
        <v>1.7744988916505857</v>
      </c>
      <c r="AP239" s="40">
        <f>IF(Tabela3[[#This Row],[Lucro/Ação]]&gt;0,Tabela3[[#This Row],[Cotação]]/(Tabela3[[#This Row],[Lucro/Ação]]/[Ref]*4),0)</f>
        <v>37.116265151617903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A.A.]&gt;=5%,SUMPRODUCT(N([Nome]=Tabela3[[#This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4.79910894246415E-3</v>
      </c>
      <c r="AU239" s="42">
        <f>((1+Tabela3[[#This Row],[% Yield]])^(1/(3*Tabela3[[#This Row],[Ref]])))^(12)-1</f>
        <v>6.403924575135278E-3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19.61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t="11.25" customHeight="1">
      <c r="A240" s="3" t="s">
        <v>1320</v>
      </c>
      <c r="B240" s="58" t="s">
        <v>1288</v>
      </c>
      <c r="C240" s="16" t="str">
        <f>LEFT([PAPEL],LEN([PAPEL])-(LEN([PAPEL])-4))</f>
        <v>FRAS</v>
      </c>
      <c r="D240" s="16">
        <v>3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/>
      <c r="N240" s="54"/>
      <c r="O240" s="54"/>
      <c r="P240" s="91">
        <v>393117000</v>
      </c>
      <c r="Q240" s="73">
        <v>33150000</v>
      </c>
      <c r="R240" s="73">
        <f>IF(Tabela3[[#This Row],[Ativo || Passivo]]&gt;0,Tabela3[[#This Row],[Ativo || Passivo]]-Tabela3[[#This Row],[Patrimônio Líquido]],0)</f>
        <v>0</v>
      </c>
      <c r="S240" s="73">
        <f>Tabela3[[#This Row],[Cotação]]*Tabela3[[#This Row],[Total Ações]]</f>
        <v>458912790</v>
      </c>
      <c r="T240" s="37">
        <f>IF(Tabela3[[#This Row],[Passivo Circulante]]&gt;0,Tabela3[[#This Row],[Ativo Circulante]]/Tabela3[[#This Row],[Passivo Circulante]],0)</f>
        <v>0</v>
      </c>
      <c r="U24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0" s="18">
        <f>IF(Tabela3[[#This Row],[Lucro Líquido]]&gt;0,Tabela3[[#This Row],[Lucro Líquido]]/Tabela3[[#This Row],[Patrimônio Líquido]],0)/Tabela3[[#This Row],[Ref]]*4</f>
        <v>0.11243472045218091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0" s="18">
        <f>IF(Tabela3[[#This Row],[Dívida]]&gt;0,Tabela3[[#This Row],[Dívida]]/Tabela3[[#This Row],[Patrimônio Líquido]],0)</f>
        <v>0</v>
      </c>
      <c r="Y240" s="18">
        <f>SUMPRODUCT(N([Dívida / PL]&gt;0),N(RIGHT([PAPEL],LEN([PAPEL])-(LEN([PAPEL])-1))="3"),[Dívida / PL])/SUMPRODUCT(N([Dívida / PL]&gt;0),N(RIGHT([PAPEL],LEN([PAPEL])-(LEN([PAPEL])-1))="3"))</f>
        <v>2.312588816579864</v>
      </c>
      <c r="Z240" s="7">
        <f>Tabela3[[#This Row],[Capital Social]]*20%</f>
        <v>34000000</v>
      </c>
      <c r="AA240" s="47">
        <f>IF(([Lucro Líquido]*5%)&gt;[Teto R. Legal],[Teto R. Legal],[Lucro Líquido]*5%)</f>
        <v>1657500</v>
      </c>
      <c r="AB240" s="47">
        <f>IF([Lucro Líquido]&lt;0,0,[Lucro Líquido]-[Reserva Legal])</f>
        <v>31492500</v>
      </c>
      <c r="AC240" s="47">
        <f>Tabela3[[#This Row],[Lucro Distribuir]]*[%Div]</f>
        <v>7873125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0.33156299696942421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7.8746211780238246E-2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7.8746211780238246E-2</v>
      </c>
      <c r="AK240" s="7">
        <f>[Div Base]*[Ações]</f>
        <v>7873125</v>
      </c>
      <c r="AL240" s="120">
        <f>SUMPRODUCT(N([Nome]=Tabela3[[#This Row],[Nome]]),[Div Base]*[Ações])</f>
        <v>7873125</v>
      </c>
      <c r="AM240" s="5">
        <f>[Patrimônio Líquido]/[Total Ações]</f>
        <v>3.9319170642422061</v>
      </c>
      <c r="AN240" s="52">
        <f>MAX(Tabela3[[#This Row],[Cotação 1]:[Cotação 5]])</f>
        <v>4.59</v>
      </c>
      <c r="AO240" s="53">
        <f>[Cotação]/[VPA]</f>
        <v>1.1673694854203709</v>
      </c>
      <c r="AP240" s="37">
        <f>IF(Tabela3[[#This Row],[Lucro/Ação]]&gt;0,Tabela3[[#This Row],[Cotação]]/(Tabela3[[#This Row],[Lucro/Ação]]/[Ref]*4),0)</f>
        <v>10.382642307692308</v>
      </c>
      <c r="AQ240" s="85">
        <f>[Lucro Distribuir]/[Total Ações]</f>
        <v>0.31498484712095298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7.8746211780238246E-2</v>
      </c>
      <c r="AS240" s="10" t="str">
        <f>IF(AND([% A.A.]&gt;=5%,SUMPRODUCT(N([Nome]=Tabela3[[#This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1.7156037424888509E-2</v>
      </c>
      <c r="AU240" s="22">
        <f>((1+Tabela3[[#This Row],[% Yield]])^(1/(3*Tabela3[[#This Row],[Ref]])))^(12)-1</f>
        <v>2.2939875555629818E-2</v>
      </c>
      <c r="AV240" s="10">
        <f>IF([Cotação]&gt;0,($BH$1/Tabela3[[#This Row],[Cotação]]-MOD($BH$1/Tabela3[[#This Row],[Cotação]],100)),)</f>
        <v>100</v>
      </c>
      <c r="AW240" s="7">
        <f>Tabela3[[#This Row],[Ativos]]*[Lucro]</f>
        <v>7.8746211780238244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4.59</v>
      </c>
    </row>
    <row r="241" spans="1:54" ht="11.25" customHeight="1">
      <c r="A241" s="3" t="s">
        <v>1227</v>
      </c>
      <c r="B241" s="58" t="s">
        <v>1228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80806693.5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1" s="18">
        <f>IF(Tabela3[[#This Row],[Lucro Líquido]]&gt;0,Tabela3[[#This Row],[Lucro Líquido]]/Tabela3[[#This Row],[Patrimônio Líquido]],0)/Tabela3[[#This Row],[Ref]]*4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2.312588816579864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1.95</v>
      </c>
      <c r="AO241" s="53">
        <f>[Cotação]/[VPA]</f>
        <v>0.3181716626242263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400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1.95</v>
      </c>
    </row>
    <row r="242" spans="1:54" ht="11.25" customHeight="1">
      <c r="A242" s="4" t="s">
        <v>12</v>
      </c>
      <c r="B242" s="60" t="s">
        <v>159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2" s="19">
        <f>IF(Tabela3[[#This Row],[Lucro Líquido]]&gt;0,Tabela3[[#This Row],[Lucro Líquido]]/Tabela3[[#This Row],[Patrimônio Líquido]],0)/Tabela3[[#This Row],[Ref]]*4</f>
        <v>0.13439359414428328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2.312588816579864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A.A.]&gt;=5%,SUMPRODUCT(N([Nome]=Tabela3[[#This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t="11.25" customHeight="1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5476186081.1700001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3" s="49">
        <f>IF(Tabela3[[#This Row],[Lucro Líquido]]&gt;0,Tabela3[[#This Row],[Lucro Líquido]]/Tabela3[[#This Row],[Patrimônio Líquido]],0)/Tabela3[[#This Row],[Ref]]*4</f>
        <v>0.13439359414428328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2.312588816579864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57.99</v>
      </c>
      <c r="AO243" s="30">
        <f>[Cotação]/[VPA]</f>
        <v>1.9946130091153194</v>
      </c>
      <c r="AP243" s="35">
        <f>IF(Tabela3[[#This Row],[Lucro/Ação]]&gt;0,Tabela3[[#This Row],[Cotação]]/(Tabela3[[#This Row],[Lucro/Ação]]/[Ref]*4),0)</f>
        <v>14.84157799198322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A.A.]&gt;=5%,SUMPRODUCT(N([Nome]=Tabela3[[#This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2.4453834912671377E-2</v>
      </c>
      <c r="AU243" s="49">
        <f>((1+Tabela3[[#This Row],[% Yield]])^(1/(3*Tabela3[[#This Row],[Ref]])))^(12)-1</f>
        <v>3.2737285025338458E-2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57.99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customHeight="1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4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4073242000</v>
      </c>
      <c r="N244" s="54">
        <v>762943000</v>
      </c>
      <c r="O244" s="54">
        <v>892729000</v>
      </c>
      <c r="P244" s="90">
        <v>1783809000</v>
      </c>
      <c r="Q244" s="90">
        <v>881359000</v>
      </c>
      <c r="R244" s="90">
        <f>IF(Tabela3[[#This Row],[Ativo || Passivo]]&gt;0,Tabela3[[#This Row],[Ativo || Passivo]]-Tabela3[[#This Row],[Patrimônio Líquido]],0)</f>
        <v>2289433000</v>
      </c>
      <c r="S244" s="90">
        <f>Tabela3[[#This Row],[Cotação]]*Tabela3[[#This Row],[Total Ações]]</f>
        <v>5661614371.0500002</v>
      </c>
      <c r="T244" s="131">
        <f>IF(Tabela3[[#This Row],[Passivo Circulante]]&gt;0,Tabela3[[#This Row],[Ativo Circulante]]/Tabela3[[#This Row],[Passivo Circulante]],0)</f>
        <v>0.85461881489231339</v>
      </c>
      <c r="U244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4" s="49">
        <f>IF(Tabela3[[#This Row],[Lucro Líquido]]&gt;0,Tabela3[[#This Row],[Lucro Líquido]]/Tabela3[[#This Row],[Patrimônio Líquido]],0)/Tabela3[[#This Row],[Ref]]*4</f>
        <v>0.49408821235905864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4" s="49">
        <f>IF(Tabela3[[#This Row],[Dívida]]&gt;0,Tabela3[[#This Row],[Dívida]]/Tabela3[[#This Row],[Patrimônio Líquido]],0)</f>
        <v>1.2834518718091454</v>
      </c>
      <c r="Y244" s="49">
        <f>SUMPRODUCT(N([Dívida / PL]&gt;0),N(RIGHT([PAPEL],LEN([PAPEL])-(LEN([PAPEL])-1))="3"),[Dívida / PL])/SUMPRODUCT(N([Dívida / PL]&gt;0),N(RIGHT([PAPEL],LEN([PAPEL])-(LEN([PAPEL])-1))="3"))</f>
        <v>2.312588816579864</v>
      </c>
      <c r="Z244" s="28">
        <f>Tabela3[[#This Row],[Capital Social]]*20%</f>
        <v>41445407.762000002</v>
      </c>
      <c r="AA244" s="28">
        <f>IF(([Lucro Líquido]*5%)&gt;[Teto R. Legal],[Teto R. Legal],[Lucro Líquido]*5%)</f>
        <v>41445407.762000002</v>
      </c>
      <c r="AB244" s="90">
        <f>IF([Lucro Líquido]&lt;0,0,[Lucro Líquido]-[Reserva Legal])</f>
        <v>839913592.23800004</v>
      </c>
      <c r="AC244" s="90">
        <f>Tabela3[[#This Row],[Lucro Distribuir]]*[%Div]</f>
        <v>209978398.05950001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2.3117401313881207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244" s="28">
        <f>[Div Base]*[Ações]</f>
        <v>105369605.00073382</v>
      </c>
      <c r="AL244" s="28">
        <f>SUMPRODUCT(N([Nome]=Tabela3[[#This Row],[Nome]]),[Div Base]*[Ações])</f>
        <v>213252728.44292897</v>
      </c>
      <c r="AM244" s="28">
        <f>[Patrimônio Líquido]/[Total Ações]</f>
        <v>4.6788004116725563</v>
      </c>
      <c r="AN244" s="29">
        <f>MAX(Tabela3[[#This Row],[Cotação 1]:[Cotação 5]])</f>
        <v>14.85</v>
      </c>
      <c r="AO244" s="30">
        <f>[Cotação]/[VPA]</f>
        <v>3.1738904619552875</v>
      </c>
      <c r="AP244" s="35">
        <f>IF(Tabela3[[#This Row],[Lucro/Ação]]&gt;0,Tabela3[[#This Row],[Cotação]]/(Tabela3[[#This Row],[Lucro/Ação]]/[Ref]*4),0)</f>
        <v>6.423732407622774</v>
      </c>
      <c r="AQ244" s="78">
        <f>[Lucro Distribuir]/[Total Ações]</f>
        <v>2.2030318611087454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244" s="25" t="str">
        <f>IF(AND([% A.A.]&gt;=5%,SUMPRODUCT(N([Nome]=Tabela3[[#This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3.5934127317520159E-2</v>
      </c>
      <c r="AU244" s="49">
        <f>((1+Tabela3[[#This Row],[% Yield]])^(1/(3*Tabela3[[#This Row],[Ref]])))^(12)-1</f>
        <v>3.5934127317521103E-2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14.85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t="11.25" customHeight="1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4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4073242000</v>
      </c>
      <c r="N245" s="54">
        <v>762943000</v>
      </c>
      <c r="O245" s="54">
        <v>892729000</v>
      </c>
      <c r="P245" s="90">
        <v>1783809000</v>
      </c>
      <c r="Q245" s="90">
        <v>881359000</v>
      </c>
      <c r="R245" s="90">
        <f>IF(Tabela3[[#This Row],[Ativo || Passivo]]&gt;0,Tabela3[[#This Row],[Ativo || Passivo]]-Tabela3[[#This Row],[Patrimônio Líquido]],0)</f>
        <v>2289433000</v>
      </c>
      <c r="S245" s="90">
        <f>Tabela3[[#This Row],[Cotação]]*Tabela3[[#This Row],[Total Ações]]</f>
        <v>6668123592.5699997</v>
      </c>
      <c r="T245" s="131">
        <f>IF(Tabela3[[#This Row],[Passivo Circulante]]&gt;0,Tabela3[[#This Row],[Ativo Circulante]]/Tabela3[[#This Row],[Passivo Circulante]],0)</f>
        <v>0.85461881489231339</v>
      </c>
      <c r="U245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5" s="49">
        <f>IF(Tabela3[[#This Row],[Lucro Líquido]]&gt;0,Tabela3[[#This Row],[Lucro Líquido]]/Tabela3[[#This Row],[Patrimônio Líquido]],0)/Tabela3[[#This Row],[Ref]]*4</f>
        <v>0.49408821235905864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5" s="49">
        <f>IF(Tabela3[[#This Row],[Dívida]]&gt;0,Tabela3[[#This Row],[Dívida]]/Tabela3[[#This Row],[Patrimônio Líquido]],0)</f>
        <v>1.2834518718091454</v>
      </c>
      <c r="Y245" s="49">
        <f>SUMPRODUCT(N([Dívida / PL]&gt;0),N(RIGHT([PAPEL],LEN([PAPEL])-(LEN([PAPEL])-1))="3"),[Dívida / PL])/SUMPRODUCT(N([Dívida / PL]&gt;0),N(RIGHT([PAPEL],LEN([PAPEL])-(LEN([PAPEL])-1))="3"))</f>
        <v>2.312588816579864</v>
      </c>
      <c r="Z245" s="28">
        <f>Tabela3[[#This Row],[Capital Social]]*20%</f>
        <v>41445407.762000002</v>
      </c>
      <c r="AA245" s="28">
        <f>IF(([Lucro Líquido]*5%)&gt;[Teto R. Legal],[Teto R. Legal],[Lucro Líquido]*5%)</f>
        <v>41445407.762000002</v>
      </c>
      <c r="AB245" s="90">
        <f>IF([Lucro Líquido]&lt;0,0,[Lucro Líquido]-[Reserva Legal])</f>
        <v>839913592.23800004</v>
      </c>
      <c r="AC245" s="90">
        <f>Tabela3[[#This Row],[Lucro Distribuir]]*[%Div]</f>
        <v>209978398.05950001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2.3117401313881207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245" s="28">
        <f>[Div Base]*[Ações]</f>
        <v>107883123.44219516</v>
      </c>
      <c r="AL245" s="28">
        <f>SUMPRODUCT(N([Nome]=Tabela3[[#This Row],[Nome]]),[Div Base]*[Ações])</f>
        <v>213252728.44292897</v>
      </c>
      <c r="AM245" s="28">
        <f>[Patrimônio Líquido]/[Total Ações]</f>
        <v>4.6788004116725563</v>
      </c>
      <c r="AN245" s="29">
        <f>MAX(Tabela3[[#This Row],[Cotação 1]:[Cotação 5]])</f>
        <v>17.489999999999998</v>
      </c>
      <c r="AO245" s="30">
        <f>[Cotação]/[VPA]</f>
        <v>3.7381376551917831</v>
      </c>
      <c r="AP245" s="35">
        <f>IF(Tabela3[[#This Row],[Lucro/Ação]]&gt;0,Tabela3[[#This Row],[Cotação]]/(Tabela3[[#This Row],[Lucro/Ação]]/[Ref]*4),0)</f>
        <v>7.5657292800890437</v>
      </c>
      <c r="AQ245" s="78">
        <f>[Lucro Distribuir]/[Total Ações]</f>
        <v>2.2030318611087454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245" s="25" t="str">
        <f>IF(AND([% A.A.]&gt;=5%,SUMPRODUCT(N([Nome]=Tabela3[[#This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3.3561118955734617E-2</v>
      </c>
      <c r="AU245" s="49">
        <f>((1+Tabela3[[#This Row],[% Yield]])^(1/(3*Tabela3[[#This Row],[Ref]])))^(12)-1</f>
        <v>3.3561118955735658E-2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17.489999999999998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3" t="s">
        <v>1060</v>
      </c>
      <c r="B246" s="57" t="s">
        <v>1074</v>
      </c>
      <c r="C246" s="16" t="str">
        <f>LEFT([PAPEL],LEN([PAPEL])-(LEN([PAPEL])-4))</f>
        <v>GFSA</v>
      </c>
      <c r="D246" s="16">
        <v>4</v>
      </c>
      <c r="E246" s="5">
        <v>2740662000</v>
      </c>
      <c r="F246" s="56">
        <v>435559201</v>
      </c>
      <c r="G246" s="81">
        <v>0.25</v>
      </c>
      <c r="H246" s="87"/>
      <c r="J246" s="18"/>
      <c r="K246" s="16"/>
      <c r="L246" s="87"/>
      <c r="M246" s="54">
        <v>6823205000</v>
      </c>
      <c r="N246" s="54">
        <v>3312510000</v>
      </c>
      <c r="O246" s="54">
        <v>1925787000</v>
      </c>
      <c r="P246" s="91">
        <v>3190724000</v>
      </c>
      <c r="Q246" s="73">
        <v>867443000</v>
      </c>
      <c r="R246" s="73">
        <f>IF(Tabela3[[#This Row],[Ativo || Passivo]]&gt;0,Tabela3[[#This Row],[Ativo || Passivo]]-Tabela3[[#This Row],[Patrimônio Líquido]],0)</f>
        <v>3632481000</v>
      </c>
      <c r="S246" s="73">
        <f>Tabela3[[#This Row],[Cotação]]*Tabela3[[#This Row],[Total Ações]]</f>
        <v>1419922995.26</v>
      </c>
      <c r="T246" s="37">
        <f>IF(Tabela3[[#This Row],[Passivo Circulante]]&gt;0,Tabela3[[#This Row],[Ativo Circulante]]/Tabela3[[#This Row],[Passivo Circulante]],0)</f>
        <v>1.7200811927798869</v>
      </c>
      <c r="U24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6" s="18">
        <f>IF(Tabela3[[#This Row],[Lucro Líquido]]&gt;0,Tabela3[[#This Row],[Lucro Líquido]]/Tabela3[[#This Row],[Patrimônio Líquido]],0)/Tabela3[[#This Row],[Ref]]*4</f>
        <v>0.27186400327950649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6" s="18">
        <f>IF(Tabela3[[#This Row],[Dívida]]&gt;0,Tabela3[[#This Row],[Dívida]]/Tabela3[[#This Row],[Patrimônio Líquido]],0)</f>
        <v>1.1384503955841998</v>
      </c>
      <c r="Y246" s="18">
        <f>SUMPRODUCT(N([Dívida / PL]&gt;0),N(RIGHT([PAPEL],LEN([PAPEL])-(LEN([PAPEL])-1))="3"),[Dívida / PL])/SUMPRODUCT(N([Dívida / PL]&gt;0),N(RIGHT([PAPEL],LEN([PAPEL])-(LEN([PAPEL])-1))="3"))</f>
        <v>2.312588816579864</v>
      </c>
      <c r="Z246" s="7">
        <f>Tabela3[[#This Row],[Capital Social]]*20%</f>
        <v>548132400</v>
      </c>
      <c r="AA246" s="47">
        <f>IF(([Lucro Líquido]*5%)&gt;[Teto R. Legal],[Teto R. Legal],[Lucro Líquido]*5%)</f>
        <v>43372150</v>
      </c>
      <c r="AB246" s="47">
        <f>IF([Lucro Líquido]&lt;0,0,[Lucro Líquido]-[Reserva Legal])</f>
        <v>824070850</v>
      </c>
      <c r="AC246" s="47">
        <f>Tabela3[[#This Row],[Lucro Distribuir]]*[%Div]</f>
        <v>206017712.5</v>
      </c>
      <c r="AD246" s="56">
        <f>SUMPRODUCT(N([Nome]=Tabela3[[#This Row],[Nome]]),[Ações])</f>
        <v>435559201</v>
      </c>
      <c r="AE246" s="85">
        <f>[Capital Social]/[Total Ações]</f>
        <v>6.2922835603236402</v>
      </c>
      <c r="AF246" s="85">
        <f>Tabela3[[#This Row],[Lucro Líquido]]/Tabela3[[#This Row],[Total Ações]]</f>
        <v>1.9915616476668117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246" s="7">
        <f>[Div Base]*[Ações]</f>
        <v>206017712.5</v>
      </c>
      <c r="AL246" s="120">
        <f>SUMPRODUCT(N([Nome]=Tabela3[[#This Row],[Nome]]),[Div Base]*[Ações])</f>
        <v>206017712.5</v>
      </c>
      <c r="AM246" s="5">
        <f>[Patrimônio Líquido]/[Total Ações]</f>
        <v>7.3255805242419845</v>
      </c>
      <c r="AN246" s="52">
        <f>MAX(Tabela3[[#This Row],[Cotação 1]:[Cotação 5]])</f>
        <v>3.26</v>
      </c>
      <c r="AO246" s="53">
        <f>[Cotação]/[VPA]</f>
        <v>0.44501592593405132</v>
      </c>
      <c r="AP246" s="37">
        <f>IF(Tabela3[[#This Row],[Lucro/Ação]]&gt;0,Tabela3[[#This Row],[Cotação]]/(Tabela3[[#This Row],[Lucro/Ação]]/[Ref]*4),0)</f>
        <v>1.6369063964548678</v>
      </c>
      <c r="AQ246" s="85">
        <f>[Lucro Distribuir]/[Total Ações]</f>
        <v>1.8919835652834711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246" s="10" t="str">
        <f>IF(AND([% A.A.]&gt;=5%,SUMPRODUCT(N([Nome]=Tabela3[[#This Row],[Nome]]),[PL])&gt;0,[Rentabilidade s/ PL]&gt;=[Rentabilidade s/ PL Média]),"Sim","Não")</f>
        <v>Sim</v>
      </c>
      <c r="AT246" s="22">
        <f>IF([Cotação]&gt;0,Tabela3[[#This Row],[Lucro]]/Tabela3[[#This Row],[Cotação]],0)</f>
        <v>0.14509076420885517</v>
      </c>
      <c r="AU246" s="22">
        <f>((1+Tabela3[[#This Row],[% Yield]])^(1/(3*Tabela3[[#This Row],[Ref]])))^(12)-1</f>
        <v>0.14509076420885458</v>
      </c>
      <c r="AV246" s="10">
        <f>IF([Cotação]&gt;0,($BH$1/Tabela3[[#This Row],[Cotação]]-MOD($BH$1/Tabela3[[#This Row],[Cotação]],100)),)</f>
        <v>200</v>
      </c>
      <c r="AW246" s="7">
        <f>Tabela3[[#This Row],[Ativos]]*[Lucro]</f>
        <v>94.59917826417356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3.26</v>
      </c>
      <c r="BB246" s="7">
        <f>SUMPRODUCT(N(Tabela17683[Código]=Tabela3[[#This Row],[PAPEL]]),Tabela17683[Fechamento])</f>
        <v>0</v>
      </c>
    </row>
    <row r="247" spans="1:54" ht="11.25" customHeight="1">
      <c r="A247" s="4" t="s">
        <v>232</v>
      </c>
      <c r="B247" s="57" t="s">
        <v>596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19432143626.400002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7" s="19">
        <f>IF(Tabela3[[#This Row],[Lucro Líquido]]&gt;0,Tabela3[[#This Row],[Lucro Líquido]]/Tabela3[[#This Row],[Patrimônio Líquido]],0)/Tabela3[[#This Row],[Ref]]*4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2.312588816579864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11.3</v>
      </c>
      <c r="AO247" s="44">
        <f>[Cotação]/[VPA]</f>
        <v>0.64049879781782437</v>
      </c>
      <c r="AP247" s="40">
        <f>IF(Tabela3[[#This Row],[Lucro/Ação]]&gt;0,Tabela3[[#This Row],[Cotação]]/(Tabela3[[#This Row],[Lucro/Ação]]/[Ref]*4),0)</f>
        <v>12.269851146690948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A.A.]&gt;=5%,SUMPRODUCT(N([Nome]=Tabela3[[#This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11.3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 ht="11.25" customHeight="1">
      <c r="A248" s="4" t="s">
        <v>232</v>
      </c>
      <c r="B248" s="57" t="s">
        <v>597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24058025604.720001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8" s="19">
        <f>IF(Tabela3[[#This Row],[Lucro Líquido]]&gt;0,Tabela3[[#This Row],[Lucro Líquido]]/Tabela3[[#This Row],[Patrimônio Líquido]],0)/Tabela3[[#This Row],[Ref]]*4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2.312588816579864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13.99</v>
      </c>
      <c r="AO248" s="44">
        <f>[Cotação]/[VPA]</f>
        <v>0.79297152048419139</v>
      </c>
      <c r="AP248" s="40">
        <f>IF(Tabela3[[#This Row],[Lucro/Ação]]&gt;0,Tabela3[[#This Row],[Cotação]]/(Tabela3[[#This Row],[Lucro/Ação]]/[Ref]*4),0)</f>
        <v>15.190727216124456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2.815218481824746E-2</v>
      </c>
      <c r="AU248" s="42">
        <f>((1+Tabela3[[#This Row],[% Yield]])^(1/(3*Tabela3[[#This Row],[Ref]])))^(12)-1</f>
        <v>2.8152184818247772E-2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13.99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t="11.25" customHeight="1">
      <c r="A249" s="4" t="s">
        <v>232</v>
      </c>
      <c r="B249" s="57" t="s">
        <v>600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5641356624.46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9" s="19">
        <f>IF(Tabela3[[#This Row],[Lucro Líquido]]&gt;0,Tabela3[[#This Row],[Lucro Líquido]]/Tabela3[[#This Row],[Patrimônio Líquido]],0)/Tabela3[[#This Row],[Ref]]*4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2.312588816579864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13.67</v>
      </c>
      <c r="AO249" s="44">
        <f>[Cotação]/[VPA]</f>
        <v>0.50745729990773514</v>
      </c>
      <c r="AP249" s="40">
        <f>IF(Tabela3[[#This Row],[Lucro/Ação]]&gt;0,Tabela3[[#This Row],[Cotação]]/(Tabela3[[#This Row],[Lucro/Ação]]/[Ref]*4),0)</f>
        <v>11.168260911103015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13.67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t="11.25" customHeight="1">
      <c r="A250" s="4" t="s">
        <v>232</v>
      </c>
      <c r="B250" s="57" t="s">
        <v>601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7044473853.6599998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0" s="19">
        <f>IF(Tabela3[[#This Row],[Lucro Líquido]]&gt;0,Tabela3[[#This Row],[Lucro Líquido]]/Tabela3[[#This Row],[Patrimônio Líquido]],0)/Tabela3[[#This Row],[Ref]]*4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2.312588816579864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17.07</v>
      </c>
      <c r="AO250" s="44">
        <f>[Cotação]/[VPA]</f>
        <v>0.63367199044806433</v>
      </c>
      <c r="AP250" s="40">
        <f>IF(Tabela3[[#This Row],[Lucro/Ação]]&gt;0,Tabela3[[#This Row],[Cotação]]/(Tabela3[[#This Row],[Lucro/Ação]]/[Ref]*4),0)</f>
        <v>13.946028804135223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3.0660404995899882E-2</v>
      </c>
      <c r="AU250" s="42">
        <f>((1+Tabela3[[#This Row],[% Yield]])^(1/(3*Tabela3[[#This Row],[Ref]])))^(12)-1</f>
        <v>3.0660404995898505E-2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17.07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t="11.25" customHeight="1">
      <c r="A251" s="3" t="s">
        <v>1196</v>
      </c>
      <c r="B251" s="58" t="s">
        <v>1197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1" s="18">
        <f>IF(Tabela3[[#This Row],[Lucro Líquido]]&gt;0,Tabela3[[#This Row],[Lucro Líquido]]/Tabela3[[#This Row],[Patrimônio Líquido]],0)/Tabela3[[#This Row],[Ref]]*4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2.312588816579864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A.A.]&gt;=5%,SUMPRODUCT(N([Nome]=Tabela3[[#This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t="11.25" customHeight="1">
      <c r="A252" s="3" t="s">
        <v>1196</v>
      </c>
      <c r="B252" s="58" t="s">
        <v>1198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2824865232.3800001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2" s="18">
        <f>IF(Tabela3[[#This Row],[Lucro Líquido]]&gt;0,Tabela3[[#This Row],[Lucro Líquido]]/Tabela3[[#This Row],[Patrimônio Líquido]],0)/Tabela3[[#This Row],[Ref]]*4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2.312588816579864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10.130000000000001</v>
      </c>
      <c r="AO252" s="53">
        <f>[Cotação]/[VPA]</f>
        <v>4.4530176070154539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10.130000000000001</v>
      </c>
    </row>
    <row r="253" spans="1:54" ht="11.25" customHeight="1">
      <c r="A253" s="4" t="s">
        <v>12</v>
      </c>
      <c r="B253" s="57" t="s">
        <v>466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3" s="19">
        <f>IF(Tabela3[[#This Row],[Lucro Líquido]]&gt;0,Tabela3[[#This Row],[Lucro Líquido]]/Tabela3[[#This Row],[Patrimônio Líquido]],0)/Tabela3[[#This Row],[Ref]]*4</f>
        <v>-2.5436634113468765E-2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2.312588816579864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t="11.25" customHeight="1">
      <c r="A254" s="4" t="s">
        <v>40</v>
      </c>
      <c r="B254" s="126" t="s">
        <v>643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168659359.94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4" s="19">
        <f>IF(Tabela3[[#This Row],[Lucro Líquido]]&gt;0,Tabela3[[#This Row],[Lucro Líquido]]/Tabela3[[#This Row],[Patrimônio Líquido]],0)/Tabela3[[#This Row],[Ref]]*4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2.312588816579864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0.47</v>
      </c>
      <c r="AO254" s="44">
        <f>[Cotação]/[VPA]</f>
        <v>2.4128663796852643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1900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0.47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t="11.25" customHeight="1">
      <c r="A255" s="3" t="s">
        <v>994</v>
      </c>
      <c r="B255" s="58" t="s">
        <v>999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5" s="18">
        <f>IF(Tabela3[[#This Row],[Lucro Líquido]]&gt;0,Tabela3[[#This Row],[Lucro Líquido]]/Tabela3[[#This Row],[Patrimônio Líquido]],0)/Tabela3[[#This Row],[Ref]]*4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2.312588816579864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t="11.25" customHeight="1">
      <c r="A256" s="3" t="s">
        <v>336</v>
      </c>
      <c r="B256" s="57" t="s">
        <v>721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405864023.99999994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6" s="19">
        <f>IF(Tabela3[[#This Row],[Lucro Líquido]]&gt;0,Tabela3[[#This Row],[Lucro Líquido]]/Tabela3[[#This Row],[Patrimônio Líquido]],0)/Tabela3[[#This Row],[Ref]]*4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2.312588816579864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8.0399999999999991</v>
      </c>
      <c r="AO256" s="44">
        <f>[Cotação]/[VPA]</f>
        <v>2.3460619429126348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100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8.0399999999999991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t="11.25" customHeight="1">
      <c r="A257" s="4" t="s">
        <v>12</v>
      </c>
      <c r="B257" s="57" t="s">
        <v>168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14972000.67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7" s="19">
        <f>IF(Tabela3[[#This Row],[Lucro Líquido]]&gt;0,Tabela3[[#This Row],[Lucro Líquido]]/Tabela3[[#This Row],[Patrimônio Líquido]],0)/Tabela3[[#This Row],[Ref]]*4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2.312588816579864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0.09</v>
      </c>
      <c r="AO257" s="44">
        <f>[Cotação]/[VPA]</f>
        <v>1.2772564980378776</v>
      </c>
      <c r="AP257" s="40">
        <f>IF(Tabela3[[#This Row],[Lucro/Ação]]&gt;0,Tabela3[[#This Row],[Cotação]]/(Tabela3[[#This Row],[Lucro/Ação]]/[Ref]*4),0)</f>
        <v>7.9384945227995756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2.8986663809065605E-2</v>
      </c>
      <c r="AU257" s="19">
        <f>((1+Tabela3[[#This Row],[% Yield]])^(1/(3*Tabela3[[#This Row],[Ref]])))^(12)-1</f>
        <v>2.8986663809066116E-2</v>
      </c>
      <c r="AV257" s="14">
        <f>IF([Cotação]&gt;0,($BH$1/Tabela3[[#This Row],[Cotação]]-MOD($BH$1/Tabela3[[#This Row],[Cotação]],100)),)</f>
        <v>10000</v>
      </c>
      <c r="AW257" s="17">
        <f>Tabela3[[#This Row],[Ativos]]*[Lucro]</f>
        <v>26.087997428159046</v>
      </c>
      <c r="AX257" s="5">
        <f>SUMPRODUCT(N(Tabela1[Código]=Tabela3[[#This Row],[PAPEL]]),Tabela1[Fechamento])</f>
        <v>0.09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t="11.25" customHeight="1">
      <c r="A258" s="4" t="s">
        <v>12</v>
      </c>
      <c r="B258" s="57" t="s">
        <v>169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14972000.67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8" s="19">
        <f>IF(Tabela3[[#This Row],[Lucro Líquido]]&gt;0,Tabela3[[#This Row],[Lucro Líquido]]/Tabela3[[#This Row],[Patrimônio Líquido]],0)/Tabela3[[#This Row],[Ref]]*4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2.312588816579864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0.09</v>
      </c>
      <c r="AO258" s="44">
        <f>[Cotação]/[VPA]</f>
        <v>1.2772564980378776</v>
      </c>
      <c r="AP258" s="40">
        <f>IF(Tabela3[[#This Row],[Lucro/Ação]]&gt;0,Tabela3[[#This Row],[Cotação]]/(Tabela3[[#This Row],[Lucro/Ação]]/[Ref]*4),0)</f>
        <v>7.9384945227995756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3.1885330233651733E-2</v>
      </c>
      <c r="AU258" s="19">
        <f>((1+Tabela3[[#This Row],[% Yield]])^(1/(3*Tabela3[[#This Row],[Ref]])))^(12)-1</f>
        <v>3.1885330233652587E-2</v>
      </c>
      <c r="AV258" s="14">
        <f>IF([Cotação]&gt;0,($BH$1/Tabela3[[#This Row],[Cotação]]-MOD($BH$1/Tabela3[[#This Row],[Cotação]],100)),)</f>
        <v>10000</v>
      </c>
      <c r="AW258" s="17">
        <f>Tabela3[[#This Row],[Ativos]]*[Lucro]</f>
        <v>28.696797210286555</v>
      </c>
      <c r="AX258" s="5">
        <f>SUMPRODUCT(N(Tabela1[Código]=Tabela3[[#This Row],[PAPEL]]),Tabela1[Fechamento])</f>
        <v>0.09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t="11.25" customHeight="1">
      <c r="A259" s="3" t="s">
        <v>1034</v>
      </c>
      <c r="B259" s="58" t="s">
        <v>1041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5592912000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9" s="18">
        <f>IF(Tabela3[[#This Row],[Lucro Líquido]]&gt;0,Tabela3[[#This Row],[Lucro Líquido]]/Tabela3[[#This Row],[Patrimônio Líquido]],0)/Tabela3[[#This Row],[Ref]]*4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2.312588816579864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89.63</v>
      </c>
      <c r="AO259" s="53">
        <f>[Cotação]/[VPA]</f>
        <v>1.976906624420359</v>
      </c>
      <c r="AP259" s="37">
        <f>IF(Tabela3[[#This Row],[Lucro/Ação]]&gt;0,Tabela3[[#This Row],[Cotação]]/(Tabela3[[#This Row],[Lucro/Ação]]/[Ref]*4),0)</f>
        <v>13.297966636866832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A.A.]&gt;=5%,SUMPRODUCT(N([Nome]=Tabela3[[#This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1.7304184779991065E-2</v>
      </c>
      <c r="AU259" s="22">
        <f>((1+Tabela3[[#This Row],[% Yield]])^(1/(3*Tabela3[[#This Row],[Ref]])))^(12)-1</f>
        <v>1.730418477999196E-2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89.63</v>
      </c>
      <c r="BB259" s="7">
        <f>SUMPRODUCT(N(Tabela17683[Código]=Tabela3[[#This Row],[PAPEL]]),Tabela17683[Fechamento])</f>
        <v>0</v>
      </c>
    </row>
    <row r="260" spans="1:54" ht="11.25" customHeight="1">
      <c r="A260" s="3" t="s">
        <v>1034</v>
      </c>
      <c r="B260" s="58" t="s">
        <v>1042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5179200000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0" s="18">
        <f>IF(Tabela3[[#This Row],[Lucro Líquido]]&gt;0,Tabela3[[#This Row],[Lucro Líquido]]/Tabela3[[#This Row],[Patrimônio Líquido]],0)/Tabela3[[#This Row],[Ref]]*4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2.312588816579864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83</v>
      </c>
      <c r="AO260" s="53">
        <f>[Cotação]/[VPA]</f>
        <v>1.8306733217325653</v>
      </c>
      <c r="AP260" s="37">
        <f>IF(Tabela3[[#This Row],[Lucro/Ação]]&gt;0,Tabela3[[#This Row],[Cotação]]/(Tabela3[[#This Row],[Lucro/Ação]]/[Ref]*4),0)</f>
        <v>12.314305822380309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2.0555078221093953E-2</v>
      </c>
      <c r="AU260" s="22">
        <f>((1+Tabela3[[#This Row],[% Yield]])^(1/(3*Tabela3[[#This Row],[Ref]])))^(12)-1</f>
        <v>2.0555078221092815E-2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83</v>
      </c>
      <c r="BB260" s="7">
        <f>SUMPRODUCT(N(Tabela17683[Código]=Tabela3[[#This Row],[PAPEL]]),Tabela17683[Fechamento])</f>
        <v>0</v>
      </c>
    </row>
    <row r="261" spans="1:54" ht="11.25" customHeight="1">
      <c r="A261" s="4" t="s">
        <v>331</v>
      </c>
      <c r="B261" s="58" t="s">
        <v>1148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23562000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1" s="18">
        <f>IF(Tabela3[[#This Row],[Lucro Líquido]]&gt;0,Tabela3[[#This Row],[Lucro Líquido]]/Tabela3[[#This Row],[Patrimônio Líquido]],0)/Tabela3[[#This Row],[Ref]]*4</f>
        <v>-3.140233949445316E-2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2.312588816579864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1.98</v>
      </c>
      <c r="AO261" s="53">
        <f>[Cotação]/[VPA]</f>
        <v>-0.2612922366031033</v>
      </c>
      <c r="AP261" s="37">
        <f>IF(Tabela3[[#This Row],[Lucro/Ação]]&gt;0,Tabela3[[#This Row],[Cotação]]/(Tabela3[[#This Row],[Lucro/Ação]]/[Ref]*4),0)</f>
        <v>8.3207888587172754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2.0741164911433671E-2</v>
      </c>
      <c r="AU261" s="22">
        <f>((1+Tabela3[[#This Row],[% Yield]])^(1/(3*Tabela3[[#This Row],[Ref]])))^(12)-1</f>
        <v>2.7750048778378167E-2</v>
      </c>
      <c r="AV261" s="10">
        <f>IF([Cotação]&gt;0,($BH$1/Tabela3[[#This Row],[Cotação]]-MOD($BH$1/Tabela3[[#This Row],[Cotação]],100)),)</f>
        <v>400</v>
      </c>
      <c r="AW261" s="7">
        <f>Tabela3[[#This Row],[Ativos]]*[Lucro]</f>
        <v>16.427002609855467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1.98</v>
      </c>
    </row>
    <row r="262" spans="1:54" ht="11.25" customHeight="1">
      <c r="A262" s="4" t="s">
        <v>331</v>
      </c>
      <c r="B262" s="58" t="s">
        <v>1149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16540999.999999998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2" s="18">
        <f>IF(Tabela3[[#This Row],[Lucro Líquido]]&gt;0,Tabela3[[#This Row],[Lucro Líquido]]/Tabela3[[#This Row],[Patrimônio Líquido]],0)/Tabela3[[#This Row],[Ref]]*4</f>
        <v>-3.140233949445316E-2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2.312588816579864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1.39</v>
      </c>
      <c r="AO262" s="53">
        <f>[Cotação]/[VPA]</f>
        <v>-0.18343242872642102</v>
      </c>
      <c r="AP262" s="37">
        <f>IF(Tabela3[[#This Row],[Lucro/Ação]]&gt;0,Tabela3[[#This Row],[Cotação]]/(Tabela3[[#This Row],[Lucro/Ação]]/[Ref]*4),0)</f>
        <v>5.8413618755641474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3.2499465639558668E-2</v>
      </c>
      <c r="AU262" s="22">
        <f>((1+Tabela3[[#This Row],[% Yield]])^(1/(3*Tabela3[[#This Row],[Ref]])))^(12)-1</f>
        <v>4.3565662788460635E-2</v>
      </c>
      <c r="AV262" s="10">
        <f>IF([Cotação]&gt;0,($BH$1/Tabela3[[#This Row],[Cotação]]-MOD($BH$1/Tabela3[[#This Row],[Cotação]],100)),)</f>
        <v>600</v>
      </c>
      <c r="AW262" s="7">
        <f>Tabela3[[#This Row],[Ativos]]*[Lucro]</f>
        <v>27.104554343391928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1.39</v>
      </c>
    </row>
    <row r="263" spans="1:54">
      <c r="A263" s="3" t="s">
        <v>1060</v>
      </c>
      <c r="B263" s="57" t="s">
        <v>1075</v>
      </c>
      <c r="C263" s="16" t="str">
        <f>LEFT([PAPEL],LEN([PAPEL])-(LEN([PAPEL])-4))</f>
        <v>HBOR</v>
      </c>
      <c r="D263" s="16">
        <v>3</v>
      </c>
      <c r="E263" s="5">
        <v>806376305</v>
      </c>
      <c r="F263" s="56">
        <v>257699937</v>
      </c>
      <c r="G263" s="81">
        <v>0.5</v>
      </c>
      <c r="H263" s="87"/>
      <c r="J263" s="18"/>
      <c r="K263" s="16"/>
      <c r="L263" s="87"/>
      <c r="M263" s="47">
        <v>1551852000</v>
      </c>
      <c r="N263" s="47">
        <v>117228000</v>
      </c>
      <c r="O263" s="47">
        <v>74274000</v>
      </c>
      <c r="P263" s="91">
        <v>1247354000</v>
      </c>
      <c r="Q263" s="73">
        <v>211777000</v>
      </c>
      <c r="R263" s="73">
        <f>IF(Tabela3[[#This Row],[Ativo || Passivo]]&gt;0,Tabela3[[#This Row],[Ativo || Passivo]]-Tabela3[[#This Row],[Patrimônio Líquido]],0)</f>
        <v>304498000</v>
      </c>
      <c r="S263" s="7">
        <f>Tabela3[[#This Row],[Cotação]]*Tabela3[[#This Row],[Total Ações]]</f>
        <v>1806476558.3699999</v>
      </c>
      <c r="T263" s="37">
        <f>IF(Tabela3[[#This Row],[Passivo Circulante]]&gt;0,Tabela3[[#This Row],[Ativo Circulante]]/Tabela3[[#This Row],[Passivo Circulante]],0)</f>
        <v>1.578318119395751</v>
      </c>
      <c r="U26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3" s="18">
        <f>IF(Tabela3[[#This Row],[Lucro Líquido]]&gt;0,Tabela3[[#This Row],[Lucro Líquido]]/Tabela3[[#This Row],[Patrimônio Líquido]],0)/Tabela3[[#This Row],[Ref]]*4</f>
        <v>0.22637465653962974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3" s="18">
        <f>IF(Tabela3[[#This Row],[Dívida]]&gt;0,Tabela3[[#This Row],[Dívida]]/Tabela3[[#This Row],[Patrimônio Líquido]],0)</f>
        <v>0.24411514293456388</v>
      </c>
      <c r="Y263" s="18">
        <f>SUMPRODUCT(N([Dívida / PL]&gt;0),N(RIGHT([PAPEL],LEN([PAPEL])-(LEN([PAPEL])-1))="3"),[Dívida / PL])/SUMPRODUCT(N([Dívida / PL]&gt;0),N(RIGHT([PAPEL],LEN([PAPEL])-(LEN([PAPEL])-1))="3"))</f>
        <v>2.312588816579864</v>
      </c>
      <c r="Z263" s="7">
        <f>Tabela3[[#This Row],[Capital Social]]*20%</f>
        <v>161275261</v>
      </c>
      <c r="AA263" s="47">
        <f>IF(([Lucro Líquido]*5%)&gt;[Teto R. Legal],[Teto R. Legal],[Lucro Líquido]*5%)</f>
        <v>10588850</v>
      </c>
      <c r="AB263" s="47">
        <f>IF([Lucro Líquido]&lt;0,0,[Lucro Líquido]-[Reserva Legal])</f>
        <v>201188150</v>
      </c>
      <c r="AC263" s="47">
        <f>Tabela3[[#This Row],[Lucro Distribuir]]*[%Div]</f>
        <v>100594075</v>
      </c>
      <c r="AD263" s="56">
        <f>SUMPRODUCT(N([Nome]=Tabela3[[#This Row],[Nome]]),[Ações])</f>
        <v>257699937</v>
      </c>
      <c r="AE263" s="85">
        <f>[Capital Social]/[Total Ações]</f>
        <v>3.1291288402604458</v>
      </c>
      <c r="AF263" s="85">
        <f>Tabela3[[#This Row],[Lucro Líquido]]/Tabela3[[#This Row],[Total Ações]]</f>
        <v>0.82179686369112304</v>
      </c>
      <c r="AG2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2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263" s="7">
        <f>[Div Base]*[Ações]</f>
        <v>100594075</v>
      </c>
      <c r="AL263" s="120">
        <f>SUMPRODUCT(N([Nome]=Tabela3[[#This Row],[Nome]]),[Div Base]*[Ações])</f>
        <v>100594075</v>
      </c>
      <c r="AM263" s="5">
        <f>[Patrimônio Líquido]/[Total Ações]</f>
        <v>4.8403349046996471</v>
      </c>
      <c r="AN263" s="52">
        <f>MAX(Tabela3[[#This Row],[Cotação 1]:[Cotação 5]])</f>
        <v>7.01</v>
      </c>
      <c r="AO263" s="53">
        <f>[Cotação]/[VPA]</f>
        <v>1.4482468957248702</v>
      </c>
      <c r="AP263" s="37">
        <f>IF(Tabela3[[#This Row],[Lucro/Ação]]&gt;0,Tabela3[[#This Row],[Cotação]]/(Tabela3[[#This Row],[Lucro/Ação]]/[Ref]*4),0)</f>
        <v>6.3975663966223912</v>
      </c>
      <c r="AQ263" s="85">
        <f>[Lucro Distribuir]/[Total Ações]</f>
        <v>0.78070702050656693</v>
      </c>
      <c r="AR263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263" s="10" t="str">
        <f>IF(AND([% A.A.]&gt;=5%,SUMPRODUCT(N([Nome]=Tabela3[[#This Row],[Nome]]),[PL])&gt;0,[Rentabilidade s/ PL]&gt;=[Rentabilidade s/ PL Média]),"Sim","Não")</f>
        <v>Sim</v>
      </c>
      <c r="AT263" s="22">
        <f>IF([Cotação]&gt;0,Tabela3[[#This Row],[Lucro]]/Tabela3[[#This Row],[Cotação]],0)</f>
        <v>5.5685236840696643E-2</v>
      </c>
      <c r="AU263" s="22">
        <f>((1+Tabela3[[#This Row],[% Yield]])^(1/(3*Tabela3[[#This Row],[Ref]])))^(12)-1</f>
        <v>7.4927724437435339E-2</v>
      </c>
      <c r="AV263" s="14">
        <f>IF([Cotação]&gt;0,($BH$1/Tabela3[[#This Row],[Cotação]]-MOD($BH$1/Tabela3[[#This Row],[Cotação]],100)),)</f>
        <v>100</v>
      </c>
      <c r="AW263" s="7">
        <f>Tabela3[[#This Row],[Ativos]]*[Lucro]</f>
        <v>39.035351025328346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7.01</v>
      </c>
      <c r="BB263" s="7">
        <f>SUMPRODUCT(N(Tabela17683[Código]=Tabela3[[#This Row],[PAPEL]]),Tabela17683[Fechamento])</f>
        <v>0</v>
      </c>
    </row>
    <row r="264" spans="1:54" ht="11.25" customHeight="1">
      <c r="A264" s="3" t="s">
        <v>289</v>
      </c>
      <c r="B264" s="58" t="s">
        <v>696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4" s="18">
        <f>IF(Tabela3[[#This Row],[Lucro Líquido]]&gt;0,Tabela3[[#This Row],[Lucro Líquido]]/Tabela3[[#This Row],[Patrimônio Líquido]],0)/Tabela3[[#This Row],[Ref]]*4</f>
        <v>1.3672602612829295E-2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2.312588816579864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A.A.]&gt;=5%,SUMPRODUCT(N([Nome]=Tabela3[[#This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t="11.25" customHeight="1">
      <c r="A265" s="3" t="s">
        <v>289</v>
      </c>
      <c r="B265" s="58" t="s">
        <v>293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137005305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5" s="18">
        <f>IF(Tabela3[[#This Row],[Lucro Líquido]]&gt;0,Tabela3[[#This Row],[Lucro Líquido]]/Tabela3[[#This Row],[Patrimônio Líquido]],0)/Tabela3[[#This Row],[Ref]]*4</f>
        <v>1.3672602612829295E-2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2.312588816579864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15</v>
      </c>
      <c r="AO265" s="44">
        <f>[Cotação]/[VPA]</f>
        <v>0.27391583512104811</v>
      </c>
      <c r="AP265" s="40">
        <f>IF(Tabela3[[#This Row],[Lucro/Ação]]&gt;0,Tabela3[[#This Row],[Cotação]]/(Tabela3[[#This Row],[Lucro/Ação]]/[Ref]*4),0)</f>
        <v>20.033920598557224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9.4759854232823858E-3</v>
      </c>
      <c r="AU265" s="19">
        <f>((1+Tabela3[[#This Row],[% Yield]])^(1/(3*Tabela3[[#This Row],[Ref]])))^(12)-1</f>
        <v>1.265455966571305E-2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15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t="11.25" customHeight="1">
      <c r="A266" s="3" t="s">
        <v>289</v>
      </c>
      <c r="B266" s="58" t="s">
        <v>697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6" s="18">
        <f>IF(Tabela3[[#This Row],[Lucro Líquido]]&gt;0,Tabela3[[#This Row],[Lucro Líquido]]/Tabela3[[#This Row],[Patrimônio Líquido]],0)/Tabela3[[#This Row],[Ref]]*4</f>
        <v>1.3672602612829295E-2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2.312588816579864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A.A.]&gt;=5%,SUMPRODUCT(N([Nome]=Tabela3[[#This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t="11.25" customHeight="1">
      <c r="A267" s="103" t="s">
        <v>940</v>
      </c>
      <c r="B267" s="58" t="s">
        <v>941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7" s="110">
        <f>IF(Tabela3[[#This Row],[Lucro Líquido]]&gt;0,Tabela3[[#This Row],[Lucro Líquido]]/Tabela3[[#This Row],[Patrimônio Líquido]],0)/Tabela3[[#This Row],[Ref]]*4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2.312588816579864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A.A.]&gt;=5%,SUMPRODUCT(N([Nome]=Tabela3[[#This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1400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 ht="11.25" customHeight="1">
      <c r="A268" s="3" t="s">
        <v>940</v>
      </c>
      <c r="B268" s="58" t="s">
        <v>942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4590000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8" s="110">
        <f>IF(Tabela3[[#This Row],[Lucro Líquido]]&gt;0,Tabela3[[#This Row],[Lucro Líquido]]/Tabela3[[#This Row],[Patrimônio Líquido]],0)/Tabela3[[#This Row],[Ref]]*4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2.312588816579864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0.3</v>
      </c>
      <c r="AO268" s="53">
        <f>[Cotação]/[VPA]</f>
        <v>-1.1253171849908676E-2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3000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0.3</v>
      </c>
      <c r="BB268" s="7">
        <f>SUMPRODUCT(N(Tabela17683[Código]=Tabela3[[#This Row],[PAPEL]]),Tabela17683[Fechamento])</f>
        <v>0</v>
      </c>
    </row>
    <row r="269" spans="1:54" ht="11.25" customHeight="1">
      <c r="A269" s="3" t="s">
        <v>946</v>
      </c>
      <c r="B269" s="58" t="s">
        <v>887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4169601366.7099996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9" s="18">
        <f>IF(Tabela3[[#This Row],[Lucro Líquido]]&gt;0,Tabela3[[#This Row],[Lucro Líquido]]/Tabela3[[#This Row],[Patrimônio Líquido]],0)/Tabela3[[#This Row],[Ref]]*4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2.312588816579864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25.33</v>
      </c>
      <c r="AO269" s="53">
        <f>[Cotação]/[VPA]</f>
        <v>4.5958276110103187</v>
      </c>
      <c r="AP269" s="37">
        <f>IF(Tabela3[[#This Row],[Lucro/Ação]]&gt;0,Tabela3[[#This Row],[Cotação]]/(Tabela3[[#This Row],[Lucro/Ação]]/[Ref]*4),0)</f>
        <v>13.104865816948065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1.8123039435691858E-2</v>
      </c>
      <c r="AU269" s="22">
        <f>((1+Tabela3[[#This Row],[% Yield]])^(1/(3*Tabela3[[#This Row],[Ref]])))^(12)-1</f>
        <v>1.812303943569149E-2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25.33</v>
      </c>
      <c r="BB269" s="7">
        <f>SUMPRODUCT(N(Tabela17683[Código]=Tabela3[[#This Row],[PAPEL]]),Tabela17683[Fechamento])</f>
        <v>0</v>
      </c>
    </row>
    <row r="270" spans="1:54" ht="11.25" customHeight="1">
      <c r="A270" s="3" t="s">
        <v>782</v>
      </c>
      <c r="B270" s="58" t="s">
        <v>789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9405659710.5600014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0" s="18">
        <f>IF(Tabela3[[#This Row],[Lucro Líquido]]&gt;0,Tabela3[[#This Row],[Lucro Líquido]]/Tabela3[[#This Row],[Patrimônio Líquido]],0)/Tabela3[[#This Row],[Ref]]*4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2.312588816579864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14.88</v>
      </c>
      <c r="AO270" s="53">
        <f>[Cotação]/[VPA]</f>
        <v>1.3287500737167937</v>
      </c>
      <c r="AP270" s="37">
        <f>IF(Tabela3[[#This Row],[Lucro/Ação]]&gt;0,Tabela3[[#This Row],[Cotação]]/(Tabela3[[#This Row],[Lucro/Ação]]/[Ref]*4),0)</f>
        <v>36.637528963470217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6.4824240804231522E-3</v>
      </c>
      <c r="AU270" s="22">
        <f>((1+Tabela3[[#This Row],[% Yield]])^(1/(3*Tabela3[[#This Row],[Ref]])))^(12)-1</f>
        <v>6.4824240804235433E-3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14.88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t="11.25" customHeight="1">
      <c r="A271" s="4" t="s">
        <v>562</v>
      </c>
      <c r="B271" s="57" t="s">
        <v>560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188295308.74000001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1" s="19">
        <f>IF(Tabela3[[#This Row],[Lucro Líquido]]&gt;0,Tabela3[[#This Row],[Lucro Líquido]]/Tabela3[[#This Row],[Patrimônio Líquido]],0)/Tabela3[[#This Row],[Ref]]*4</f>
        <v>3.0759739115106648E-3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2.312588816579864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1.54</v>
      </c>
      <c r="AO271" s="44">
        <f>[Cotação]/[VPA]</f>
        <v>1.2446807822580646</v>
      </c>
      <c r="AP271" s="40">
        <f>IF(Tabela3[[#This Row],[Lucro/Ação]]&gt;0,Tabela3[[#This Row],[Cotação]]/(Tabela3[[#This Row],[Lucro/Ação]]/[Ref]*4),0)</f>
        <v>404.64607895415475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4.4019949596541393E-4</v>
      </c>
      <c r="AU271" s="42">
        <f>((1+Tabela3[[#This Row],[% Yield]])^(1/(3*Tabela3[[#This Row],[Ref]])))^(12)-1</f>
        <v>5.8697571831878292E-4</v>
      </c>
      <c r="AV271" s="14">
        <f>IF([Cotação]&gt;0,($BH$1/Tabela3[[#This Row],[Cotação]]-MOD($BH$1/Tabela3[[#This Row],[Cotação]],100)),)</f>
        <v>500</v>
      </c>
      <c r="AW271" s="17">
        <f>Tabela3[[#This Row],[Ativos]]*[Lucro]</f>
        <v>0.33895361189336876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1.54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t="11.25" customHeight="1">
      <c r="A272" s="4" t="s">
        <v>14</v>
      </c>
      <c r="B272" s="57" t="s">
        <v>534</v>
      </c>
      <c r="C272" s="15" t="str">
        <f>LEFT([PAPEL],LEN([PAPEL])-(LEN([PAPEL])-4))</f>
        <v>IDVL</v>
      </c>
      <c r="D272" s="15">
        <v>4</v>
      </c>
      <c r="E272" s="6">
        <v>769843000</v>
      </c>
      <c r="F272" s="8">
        <v>58513218</v>
      </c>
      <c r="G272" s="86">
        <v>0.25</v>
      </c>
      <c r="H272" s="15"/>
      <c r="I272" s="19"/>
      <c r="J272" s="19"/>
      <c r="K272" s="88"/>
      <c r="L272" s="88"/>
      <c r="M272" s="55">
        <v>4667591000</v>
      </c>
      <c r="N272" s="55">
        <v>3479268000</v>
      </c>
      <c r="O272" s="55">
        <v>2824930000</v>
      </c>
      <c r="P272" s="92">
        <v>673346000</v>
      </c>
      <c r="Q272" s="93">
        <v>-119908000</v>
      </c>
      <c r="R272" s="93">
        <f>IF(Tabela3[[#This Row],[Ativo || Passivo]]&gt;0,Tabela3[[#This Row],[Ativo || Passivo]]-Tabela3[[#This Row],[Patrimônio Líquido]],0)</f>
        <v>3994245000</v>
      </c>
      <c r="S272" s="93">
        <f>Tabela3[[#This Row],[Cotação]]*Tabela3[[#This Row],[Total Ações]]</f>
        <v>559594531.25</v>
      </c>
      <c r="T272" s="40">
        <f>IF(Tabela3[[#This Row],[Passivo Circulante]]&gt;0,Tabela3[[#This Row],[Ativo Circulante]]/Tabela3[[#This Row],[Passivo Circulante]],0)</f>
        <v>1.2316298102961842</v>
      </c>
      <c r="U27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2" s="19">
        <f>IF(Tabela3[[#This Row],[Lucro Líquido]]&gt;0,Tabela3[[#This Row],[Lucro Líquido]]/Tabela3[[#This Row],[Patrimônio Líquido]],0)/Tabela3[[#This Row],[Ref]]*4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2" s="19">
        <f>IF(Tabela3[[#This Row],[Dívida]]&gt;0,Tabela3[[#This Row],[Dívida]]/Tabela3[[#This Row],[Patrimônio Líquido]],0)</f>
        <v>5.9319354388382797</v>
      </c>
      <c r="Y272" s="19">
        <f>SUMPRODUCT(N([Dívida / PL]&gt;0),N(RIGHT([PAPEL],LEN([PAPEL])-(LEN([PAPEL])-1))="3"),[Dívida / PL])/SUMPRODUCT(N([Dívida / PL]&gt;0),N(RIGHT([PAPEL],LEN([PAPEL])-(LEN([PAPEL])-1))="3"))</f>
        <v>2.312588816579864</v>
      </c>
      <c r="Z272" s="13">
        <f>Tabela3[[#This Row],[Capital Social]]*20%</f>
        <v>153968600</v>
      </c>
      <c r="AA272" s="13">
        <f>IF(([Lucro Líquido]*5%)&gt;[Teto R. Legal],[Teto R. Legal],[Lucro Líquido]*5%)</f>
        <v>-5995400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89535125</v>
      </c>
      <c r="AE272" s="6">
        <f>[Capital Social]/[Total Ações]</f>
        <v>8.5982233229696163</v>
      </c>
      <c r="AF272" s="78">
        <f>Tabela3[[#This Row],[Lucro Líquido]]/Tabela3[[#This Row],[Total Ações]]</f>
        <v>-1.3392285988320227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7.520467526012836</v>
      </c>
      <c r="AN272" s="48">
        <f>MAX(Tabela3[[#This Row],[Cotação 1]:[Cotação 5]])</f>
        <v>6.25</v>
      </c>
      <c r="AO272" s="44">
        <f>[Cotação]/[VPA]</f>
        <v>0.83106535310226837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100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t="11.25" customHeight="1">
      <c r="A273" s="4" t="s">
        <v>14</v>
      </c>
      <c r="B273" s="57" t="s">
        <v>535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>
        <v>4667591000</v>
      </c>
      <c r="N273" s="55">
        <v>3479268000</v>
      </c>
      <c r="O273" s="55">
        <v>2824930000</v>
      </c>
      <c r="P273" s="92">
        <v>673346000</v>
      </c>
      <c r="Q273" s="93">
        <v>-119908000</v>
      </c>
      <c r="R273" s="93">
        <f>IF(Tabela3[[#This Row],[Ativo || Passivo]]&gt;0,Tabela3[[#This Row],[Ativo || Passivo]]-Tabela3[[#This Row],[Patrimônio Líquido]],0)</f>
        <v>3994245000</v>
      </c>
      <c r="S273" s="93">
        <f>Tabela3[[#This Row],[Cotação]]*Tabela3[[#This Row],[Total Ações]]</f>
        <v>389477793.74999994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3" s="19">
        <f>IF(Tabela3[[#This Row],[Lucro Líquido]]&gt;0,Tabela3[[#This Row],[Lucro Líquido]]/Tabela3[[#This Row],[Patrimônio Líquido]],0)/Tabela3[[#This Row],[Ref]]*4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2.312588816579864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8">
        <f>Tabela3[[#This Row],[Lucro Líquido]]/Tabela3[[#This Row],[Total Ações]]</f>
        <v>-1.3392285988320227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4.3499999999999996</v>
      </c>
      <c r="AO273" s="44">
        <f>[Cotação]/[VPA]</f>
        <v>0.57842148575917873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200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4.3499999999999996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t="11.25" customHeight="1">
      <c r="A274" s="3" t="s">
        <v>868</v>
      </c>
      <c r="B274" s="58" t="s">
        <v>885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75029802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4" s="18">
        <f>IF(Tabela3[[#This Row],[Lucro Líquido]]&gt;0,Tabela3[[#This Row],[Lucro Líquido]]/Tabela3[[#This Row],[Patrimônio Líquido]],0)/Tabela3[[#This Row],[Ref]]*4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2.312588816579864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6</v>
      </c>
      <c r="AO274" s="53">
        <f>[Cotação]/[VPA]</f>
        <v>-0.5157609057288588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A.A.]&gt;=5%,SUMPRODUCT(N([Nome]=Tabela3[[#This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100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6</v>
      </c>
      <c r="BB274" s="7">
        <f>SUMPRODUCT(N(Tabela17683[Código]=Tabela3[[#This Row],[PAPEL]]),Tabela17683[Fechamento])</f>
        <v>0</v>
      </c>
    </row>
    <row r="275" spans="1:54" ht="11.25" customHeight="1">
      <c r="A275" s="3" t="s">
        <v>336</v>
      </c>
      <c r="B275" s="58" t="s">
        <v>345</v>
      </c>
      <c r="C275" s="83" t="str">
        <f>LEFT([PAPEL],LEN([PAPEL])-(LEN([PAPEL])-4))</f>
        <v>IGTA</v>
      </c>
      <c r="D275" s="16">
        <v>3</v>
      </c>
      <c r="E275" s="5">
        <v>1261727567.1199999</v>
      </c>
      <c r="F275" s="21">
        <v>176611578</v>
      </c>
      <c r="G275" s="86">
        <v>0.25</v>
      </c>
      <c r="H275" s="16"/>
      <c r="J275" s="18"/>
      <c r="K275" s="87"/>
      <c r="L275" s="87"/>
      <c r="M275" s="54"/>
      <c r="N275" s="54"/>
      <c r="O275" s="54"/>
      <c r="P275" s="5">
        <v>2302519000</v>
      </c>
      <c r="Q275" s="5">
        <v>128087000</v>
      </c>
      <c r="R275" s="5">
        <f>IF(Tabela3[[#This Row],[Ativo || Passivo]]&gt;0,Tabela3[[#This Row],[Ativo || Passivo]]-Tabela3[[#This Row],[Patrimônio Líquido]],0)</f>
        <v>0</v>
      </c>
      <c r="S275" s="5">
        <f>Tabela3[[#This Row],[Cotação]]*Tabela3[[#This Row],[Total Ações]]</f>
        <v>3744165453.5999999</v>
      </c>
      <c r="T275" s="130">
        <f>IF(Tabela3[[#This Row],[Passivo Circulante]]&gt;0,Tabela3[[#This Row],[Ativo Circulante]]/Tabela3[[#This Row],[Passivo Circulante]],0)</f>
        <v>0</v>
      </c>
      <c r="U27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5" s="18">
        <f>IF(Tabela3[[#This Row],[Lucro Líquido]]&gt;0,Tabela3[[#This Row],[Lucro Líquido]]/Tabela3[[#This Row],[Patrimônio Líquido]],0)/Tabela3[[#This Row],[Ref]]*4</f>
        <v>7.417209876082094E-2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5" s="18">
        <f>IF(Tabela3[[#This Row],[Dívida]]&gt;0,Tabela3[[#This Row],[Dívida]]/Tabela3[[#This Row],[Patrimônio Líquido]],0)</f>
        <v>0</v>
      </c>
      <c r="Y275" s="18">
        <f>SUMPRODUCT(N([Dívida / PL]&gt;0),N(RIGHT([PAPEL],LEN([PAPEL])-(LEN([PAPEL])-1))="3"),[Dívida / PL])/SUMPRODUCT(N([Dívida / PL]&gt;0),N(RIGHT([PAPEL],LEN([PAPEL])-(LEN([PAPEL])-1))="3"))</f>
        <v>2.312588816579864</v>
      </c>
      <c r="Z275" s="5">
        <f>Tabela3[[#This Row],[Capital Social]]*20%</f>
        <v>252345513.42399999</v>
      </c>
      <c r="AA275" s="5">
        <f>IF(([Lucro Líquido]*5%)&gt;[Teto R. Legal],[Teto R. Legal],[Lucro Líquido]*5%)</f>
        <v>6404350</v>
      </c>
      <c r="AB275" s="5">
        <f>IF([Lucro Líquido]&lt;0,0,[Lucro Líquido]-[Reserva Legal])</f>
        <v>121682650</v>
      </c>
      <c r="AC275" s="5">
        <f>Tabela3[[#This Row],[Lucro Distribuir]]*[%Div]</f>
        <v>30420662.5</v>
      </c>
      <c r="AD275" s="56">
        <f>SUMPRODUCT(N([Nome]=Tabela3[[#This Row],[Nome]]),[Ações])</f>
        <v>176611578</v>
      </c>
      <c r="AE275" s="5">
        <f>[Capital Social]/[Total Ações]</f>
        <v>7.1440818399799353</v>
      </c>
      <c r="AF275" s="77">
        <f>Tabela3[[#This Row],[Lucro Líquido]]/Tabela3[[#This Row],[Total Ações]]</f>
        <v>0.72524690312205919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AK275" s="5">
        <f>[Div Base]*[Ações]</f>
        <v>30420662.5</v>
      </c>
      <c r="AL275" s="5">
        <f>SUMPRODUCT(N([Nome]=Tabela3[[#This Row],[Nome]]),[Div Base]*[Ações])</f>
        <v>30420662.5</v>
      </c>
      <c r="AM275" s="5">
        <f>[Patrimônio Líquido]/[Total Ações]</f>
        <v>13.037191706650173</v>
      </c>
      <c r="AN275" s="52">
        <f>MAX(Tabela3[[#This Row],[Cotação 1]:[Cotação 5]])</f>
        <v>21.2</v>
      </c>
      <c r="AO275" s="53">
        <f>[Cotação]/[VPA]</f>
        <v>1.6261170716072266</v>
      </c>
      <c r="AP275" s="37">
        <f>IF(Tabela3[[#This Row],[Lucro/Ação]]&gt;0,Tabela3[[#This Row],[Cotação]]/(Tabela3[[#This Row],[Lucro/Ação]]/[Ref]*4),0)</f>
        <v>21.923568279372613</v>
      </c>
      <c r="AQ275" s="77">
        <f>[Lucro Distribuir]/[Total Ações]</f>
        <v>0.68898455796595626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8.1248179005419374E-3</v>
      </c>
      <c r="AU275" s="18">
        <f>((1+Tabela3[[#This Row],[% Yield]])^(1/(3*Tabela3[[#This Row],[Ref]])))^(12)-1</f>
        <v>1.0847733618677635E-2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21.2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t="11.25" customHeight="1">
      <c r="A276" s="3" t="s">
        <v>268</v>
      </c>
      <c r="B276" s="58" t="s">
        <v>831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116212332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6" s="18">
        <f>IF(Tabela3[[#This Row],[Lucro Líquido]]&gt;0,Tabela3[[#This Row],[Lucro Líquido]]/Tabela3[[#This Row],[Patrimônio Líquido]],0)/Tabela3[[#This Row],[Ref]]*4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2.312588816579864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4</v>
      </c>
      <c r="AO276" s="53">
        <f>[Cotação]/[VPA]</f>
        <v>-0.76944993478246482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200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4</v>
      </c>
      <c r="BB276" s="7">
        <f>SUMPRODUCT(N(Tabela17683[Código]=Tabela3[[#This Row],[PAPEL]]),Tabela17683[Fechamento])</f>
        <v>0</v>
      </c>
    </row>
    <row r="277" spans="1:54" ht="11.25" customHeight="1">
      <c r="A277" s="3" t="s">
        <v>268</v>
      </c>
      <c r="B277" s="58" t="s">
        <v>832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7" s="18">
        <f>IF(Tabela3[[#This Row],[Lucro Líquido]]&gt;0,Tabela3[[#This Row],[Lucro Líquido]]/Tabela3[[#This Row],[Patrimônio Líquido]],0)/Tabela3[[#This Row],[Ref]]*4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2.312588816579864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300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 ht="11.25" customHeight="1">
      <c r="A278" s="3" t="s">
        <v>268</v>
      </c>
      <c r="B278" s="58" t="s">
        <v>833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8" s="18">
        <f>IF(Tabela3[[#This Row],[Lucro Líquido]]&gt;0,Tabela3[[#This Row],[Lucro Líquido]]/Tabela3[[#This Row],[Patrimônio Líquido]],0)/Tabela3[[#This Row],[Ref]]*4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2.312588816579864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200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 ht="11.25" customHeight="1">
      <c r="A279" s="3" t="s">
        <v>1183</v>
      </c>
      <c r="B279" s="57" t="s">
        <v>1184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206670597.31999999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9" s="18">
        <f>IF(Tabela3[[#This Row],[Lucro Líquido]]&gt;0,Tabela3[[#This Row],[Lucro Líquido]]/Tabela3[[#This Row],[Patrimônio Líquido]],0)/Tabela3[[#This Row],[Ref]]*4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2.312588816579864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1.18</v>
      </c>
      <c r="AO279" s="53">
        <f>[Cotação]/[VPA]</f>
        <v>3.4273730898839134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700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1.18</v>
      </c>
    </row>
    <row r="280" spans="1:54" ht="11.25" customHeight="1">
      <c r="A280" s="3" t="s">
        <v>1183</v>
      </c>
      <c r="B280" s="57" t="s">
        <v>1185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119098310.32000001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0" s="18">
        <f>IF(Tabela3[[#This Row],[Lucro Líquido]]&gt;0,Tabela3[[#This Row],[Lucro Líquido]]/Tabela3[[#This Row],[Patrimônio Líquido]],0)/Tabela3[[#This Row],[Ref]]*4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2.312588816579864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0.68</v>
      </c>
      <c r="AO280" s="53">
        <f>[Cotação]/[VPA]</f>
        <v>1.9750963568822555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1300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0.68</v>
      </c>
    </row>
    <row r="281" spans="1:54" ht="11.25" customHeight="1">
      <c r="A281" s="3" t="s">
        <v>1027</v>
      </c>
      <c r="B281" s="58" t="s">
        <v>1028</v>
      </c>
      <c r="C281" s="16" t="str">
        <f>LEFT([PAPEL],LEN([PAPEL])-(LEN([PAPEL])-4))</f>
        <v>IMCH</v>
      </c>
      <c r="D281" s="16">
        <v>4</v>
      </c>
      <c r="E281" s="5">
        <v>615586000</v>
      </c>
      <c r="F281" s="56">
        <v>84482793</v>
      </c>
      <c r="G281" s="81">
        <v>0.25</v>
      </c>
      <c r="H281" s="87"/>
      <c r="J281" s="18"/>
      <c r="K281" s="16"/>
      <c r="L281" s="87"/>
      <c r="M281" s="54">
        <v>933347000</v>
      </c>
      <c r="N281" s="54">
        <v>5245000</v>
      </c>
      <c r="O281" s="54">
        <v>938000</v>
      </c>
      <c r="P281" s="91">
        <v>921911000</v>
      </c>
      <c r="Q281" s="73">
        <v>4179000</v>
      </c>
      <c r="R281" s="73">
        <f>IF(Tabela3[[#This Row],[Ativo || Passivo]]&gt;0,Tabela3[[#This Row],[Ativo || Passivo]]-Tabela3[[#This Row],[Patrimônio Líquido]],0)</f>
        <v>11436000</v>
      </c>
      <c r="S281" s="73">
        <f>Tabela3[[#This Row],[Cotação]]*Tabela3[[#This Row],[Total Ações]]</f>
        <v>1283293625.6700001</v>
      </c>
      <c r="T281" s="37">
        <f>IF(Tabela3[[#This Row],[Passivo Circulante]]&gt;0,Tabela3[[#This Row],[Ativo Circulante]]/Tabela3[[#This Row],[Passivo Circulante]],0)</f>
        <v>5.591684434968017</v>
      </c>
      <c r="U28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1" s="18">
        <f>IF(Tabela3[[#This Row],[Lucro Líquido]]&gt;0,Tabela3[[#This Row],[Lucro Líquido]]/Tabela3[[#This Row],[Patrimônio Líquido]],0)/Tabela3[[#This Row],[Ref]]*4</f>
        <v>4.5329755258370925E-3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1" s="18">
        <f>IF(Tabela3[[#This Row],[Dívida]]&gt;0,Tabela3[[#This Row],[Dívida]]/Tabela3[[#This Row],[Patrimônio Líquido]],0)</f>
        <v>1.2404668129569991E-2</v>
      </c>
      <c r="Y281" s="18">
        <f>SUMPRODUCT(N([Dívida / PL]&gt;0),N(RIGHT([PAPEL],LEN([PAPEL])-(LEN([PAPEL])-1))="3"),[Dívida / PL])/SUMPRODUCT(N([Dívida / PL]&gt;0),N(RIGHT([PAPEL],LEN([PAPEL])-(LEN([PAPEL])-1))="3"))</f>
        <v>2.312588816579864</v>
      </c>
      <c r="Z281" s="7">
        <f>Tabela3[[#This Row],[Capital Social]]*20%</f>
        <v>123117200</v>
      </c>
      <c r="AA281" s="47">
        <f>IF(([Lucro Líquido]*5%)&gt;[Teto R. Legal],[Teto R. Legal],[Lucro Líquido]*5%)</f>
        <v>208950</v>
      </c>
      <c r="AB281" s="47">
        <f>IF([Lucro Líquido]&lt;0,0,[Lucro Líquido]-[Reserva Legal])</f>
        <v>3970050</v>
      </c>
      <c r="AC281" s="47">
        <f>Tabela3[[#This Row],[Lucro Distribuir]]*[%Div]</f>
        <v>992512.5</v>
      </c>
      <c r="AD281" s="56">
        <f>SUMPRODUCT(N([Nome]=Tabela3[[#This Row],[Nome]]),[Ações])</f>
        <v>84482793</v>
      </c>
      <c r="AE281" s="85">
        <f>[Capital Social]/[Total Ações]</f>
        <v>7.2865251980956645</v>
      </c>
      <c r="AF281" s="85">
        <f>Tabela3[[#This Row],[Lucro Líquido]]/Tabela3[[#This Row],[Total Ações]]</f>
        <v>4.9465694156205275E-2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281" s="7">
        <f>[Div Base]*[Ações]</f>
        <v>992512.5</v>
      </c>
      <c r="AL281" s="120">
        <f>SUMPRODUCT(N([Nome]=Tabela3[[#This Row],[Nome]]),[Div Base]*[Ações])</f>
        <v>992512.5</v>
      </c>
      <c r="AM281" s="5">
        <f>[Patrimônio Líquido]/[Total Ações]</f>
        <v>10.912411477683982</v>
      </c>
      <c r="AN281" s="52">
        <f>MAX(Tabela3[[#This Row],[Cotação 1]:[Cotação 5]])</f>
        <v>15.19</v>
      </c>
      <c r="AO281" s="53">
        <f>[Cotação]/[VPA]</f>
        <v>1.3919929642557687</v>
      </c>
      <c r="AP281" s="37">
        <f>IF(Tabela3[[#This Row],[Lucro/Ação]]&gt;0,Tabela3[[#This Row],[Cotação]]/(Tabela3[[#This Row],[Lucro/Ação]]/[Ref]*4),0)</f>
        <v>307.08150889447234</v>
      </c>
      <c r="AQ281" s="85">
        <f>[Lucro Distribuir]/[Total Ações]</f>
        <v>4.6992409448395014E-2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7.7341029375238666E-4</v>
      </c>
      <c r="AU281" s="22">
        <f>((1+Tabela3[[#This Row],[% Yield]])^(1/(3*Tabela3[[#This Row],[Ref]])))^(12)-1</f>
        <v>7.7341029375177506E-4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15.19</v>
      </c>
      <c r="BB281" s="7">
        <f>SUMPRODUCT(N(Tabela17683[Código]=Tabela3[[#This Row],[PAPEL]]),Tabela17683[Fechamento])</f>
        <v>0</v>
      </c>
    </row>
    <row r="282" spans="1:54" ht="11.25" customHeight="1">
      <c r="A282" s="3" t="s">
        <v>1268</v>
      </c>
      <c r="B282" s="57" t="s">
        <v>1256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92725401.600000009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2" s="18">
        <f>IF(Tabela3[[#This Row],[Lucro Líquido]]&gt;0,Tabela3[[#This Row],[Lucro Líquido]]/Tabela3[[#This Row],[Patrimônio Líquido]],0)/Tabela3[[#This Row],[Ref]]*4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2.312588816579864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0.9</v>
      </c>
      <c r="AO282" s="53">
        <f>[Cotação]/[VPA]</f>
        <v>0.23078363204201252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1000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0.9</v>
      </c>
    </row>
    <row r="283" spans="1:54" ht="11.25" customHeight="1">
      <c r="A283" s="3" t="s">
        <v>1268</v>
      </c>
      <c r="B283" s="57" t="s">
        <v>1257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81392296.960000008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3" s="18">
        <f>IF(Tabela3[[#This Row],[Lucro Líquido]]&gt;0,Tabela3[[#This Row],[Lucro Líquido]]/Tabela3[[#This Row],[Patrimônio Líquido]],0)/Tabela3[[#This Row],[Ref]]*4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2.312588816579864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0.79</v>
      </c>
      <c r="AO283" s="53">
        <f>[Cotação]/[VPA]</f>
        <v>0.20257674368132211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1100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0.79</v>
      </c>
    </row>
    <row r="284" spans="1:54" ht="11.25" customHeight="1">
      <c r="A284" s="4" t="s">
        <v>278</v>
      </c>
      <c r="B284" s="57" t="s">
        <v>515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47022737.100000001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4" s="19">
        <f>IF(Tabela3[[#This Row],[Lucro Líquido]]&gt;0,Tabela3[[#This Row],[Lucro Líquido]]/Tabela3[[#This Row],[Patrimônio Líquido]],0)/Tabela3[[#This Row],[Ref]]*4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2.312588816579864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0.15</v>
      </c>
      <c r="AO284" s="44">
        <f>[Cotação]/[VPA]</f>
        <v>-1.9213343589114977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6000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0.15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t="11.25" customHeight="1">
      <c r="A285" s="4" t="s">
        <v>573</v>
      </c>
      <c r="B285" s="57" t="s">
        <v>575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5" s="19">
        <f>IF(Tabela3[[#This Row],[Lucro Líquido]]&gt;0,Tabela3[[#This Row],[Lucro Líquido]]/Tabela3[[#This Row],[Patrimônio Líquido]],0)/Tabela3[[#This Row],[Ref]]*4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2.312588816579864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t="11.25" customHeight="1">
      <c r="A286" s="4" t="s">
        <v>14</v>
      </c>
      <c r="B286" s="57" t="s">
        <v>224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50547472075.099998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6" s="18">
        <f>IF(Tabela3[[#This Row],[Lucro Líquido]]&gt;0,Tabela3[[#This Row],[Lucro Líquido]]/Tabela3[[#This Row],[Patrimônio Líquido]],0)/Tabela3[[#This Row],[Ref]]*4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2.312588816579864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9.1</v>
      </c>
      <c r="AO286" s="53">
        <f>[Cotação]/[VPA]</f>
        <v>1.5256850706317344</v>
      </c>
      <c r="AP286" s="37">
        <f>IF(Tabela3[[#This Row],[Lucro/Ação]]&gt;0,Tabela3[[#This Row],[Cotação]]/(Tabela3[[#This Row],[Lucro/Ação]]/[Ref]*4),0)</f>
        <v>8.8710902202702702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2.6772357636191894E-2</v>
      </c>
      <c r="AU286" s="18">
        <f>((1+Tabela3[[#This Row],[% Yield]])^(1/(3*Tabela3[[#This Row],[Ref]])))^(12)-1</f>
        <v>2.6772357636192678E-2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5">
        <f>SUMPRODUCT(N(Tabela1[Código]=Tabela3[[#This Row],[PAPEL]]),Tabela1[Fechamento])</f>
        <v>9.1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t="11.25" customHeight="1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46214831611.520004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7" s="18">
        <f>IF(Tabela3[[#This Row],[Lucro Líquido]]&gt;0,Tabela3[[#This Row],[Lucro Líquido]]/Tabela3[[#This Row],[Patrimônio Líquido]],0)/Tabela3[[#This Row],[Ref]]*4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2.312588816579864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8.32</v>
      </c>
      <c r="AO287" s="44">
        <f>[Cotação]/[VPA]</f>
        <v>1.3949120645775859</v>
      </c>
      <c r="AP287" s="40">
        <f>IF(Tabela3[[#This Row],[Lucro/Ação]]&gt;0,Tabela3[[#This Row],[Cotação]]/(Tabela3[[#This Row],[Lucro/Ação]]/[Ref]*4),0)</f>
        <v>8.1107110585328197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A.A.]&gt;=5%,SUMPRODUCT(N([Nome]=Tabela3[[#This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2.9282266164584882E-2</v>
      </c>
      <c r="AU287" s="19">
        <f>((1+Tabela3[[#This Row],[% Yield]])^(1/(3*Tabela3[[#This Row],[Ref]])))^(12)-1</f>
        <v>2.9282266164583515E-2</v>
      </c>
      <c r="AV287" s="14">
        <f>IF([Cotação]&gt;0,($BH$1/Tabela3[[#This Row],[Cotação]]-MOD($BH$1/Tabela3[[#This Row],[Cotação]],100)),)</f>
        <v>100</v>
      </c>
      <c r="AW287" s="17">
        <f>Tabela3[[#This Row],[Ativos]]*[Lucro]</f>
        <v>24.362845448934621</v>
      </c>
      <c r="AX287" s="5">
        <f>SUMPRODUCT(N(Tabela1[Código]=Tabela3[[#This Row],[PAPEL]]),Tabela1[Fechamento])</f>
        <v>8.32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t="11.25" customHeight="1">
      <c r="A288" s="4" t="s">
        <v>14</v>
      </c>
      <c r="B288" s="60" t="s">
        <v>222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148427437039.20001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8" s="19">
        <f>IF(Tabela3[[#This Row],[Lucro Líquido]]&gt;0,Tabela3[[#This Row],[Lucro Líquido]]/Tabela3[[#This Row],[Patrimônio Líquido]],0)/Tabela3[[#This Row],[Ref]]*4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2.312588816579864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29.52</v>
      </c>
      <c r="AO288" s="44">
        <f>[Cotação]/[VPA]</f>
        <v>1.6634300445734775</v>
      </c>
      <c r="AP288" s="40">
        <f>IF(Tabela3[[#This Row],[Lucro/Ação]]&gt;0,Tabela3[[#This Row],[Cotação]]/(Tabela3[[#This Row],[Lucro/Ação]]/[Ref]*4),0)</f>
        <v>12.728109579330559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1.8659487374753685E-2</v>
      </c>
      <c r="AU288" s="19">
        <f>((1+Tabela3[[#This Row],[% Yield]])^(1/(3*Tabela3[[#This Row],[Ref]])))^(12)-1</f>
        <v>1.8659487374754535E-2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29.52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t="11.25" customHeight="1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156019761901.30002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9" s="19">
        <f>IF(Tabela3[[#This Row],[Lucro Líquido]]&gt;0,Tabela3[[#This Row],[Lucro Líquido]]/Tabela3[[#This Row],[Patrimônio Líquido]],0)/Tabela3[[#This Row],[Ref]]*4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2.312588816579864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31.03</v>
      </c>
      <c r="AO289" s="44">
        <f>[Cotação]/[VPA]</f>
        <v>1.7485174215147363</v>
      </c>
      <c r="AP289" s="40">
        <f>IF(Tabela3[[#This Row],[Lucro/Ação]]&gt;0,Tabela3[[#This Row],[Cotação]]/(Tabela3[[#This Row],[Lucro/Ação]]/[Ref]*4),0)</f>
        <v>13.379174805102549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1.7751468491870086E-2</v>
      </c>
      <c r="AU289" s="19">
        <f>((1+Tabela3[[#This Row],[% Yield]])^(1/(3*Tabela3[[#This Row],[Ref]])))^(12)-1</f>
        <v>1.7751468491869593E-2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31.03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t="11.25" customHeight="1">
      <c r="A290" s="4" t="s">
        <v>289</v>
      </c>
      <c r="B290" s="57" t="s">
        <v>705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72472010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0" s="19">
        <f>IF(Tabela3[[#This Row],[Lucro Líquido]]&gt;0,Tabela3[[#This Row],[Lucro Líquido]]/Tabela3[[#This Row],[Patrimônio Líquido]],0)/Tabela3[[#This Row],[Ref]]*4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2.312588816579864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0.26</v>
      </c>
      <c r="AO290" s="44">
        <f>[Cotação]/[VPA]</f>
        <v>1.7075943073914377</v>
      </c>
      <c r="AP290" s="40">
        <f>IF(Tabela3[[#This Row],[Lucro/Ação]]&gt;0,Tabela3[[#This Row],[Cotação]]/(Tabela3[[#This Row],[Lucro/Ação]]/[Ref]*4),0)</f>
        <v>30.799834254143647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7.7110804571309671E-3</v>
      </c>
      <c r="AU290" s="42">
        <f>((1+Tabela3[[#This Row],[% Yield]])^(1/(3*Tabela3[[#This Row],[Ref]])))^(12)-1</f>
        <v>7.7110804571300928E-3</v>
      </c>
      <c r="AV290" s="14">
        <f>IF([Cotação]&gt;0,($BH$1/Tabela3[[#This Row],[Cotação]]-MOD($BH$1/Tabela3[[#This Row],[Cotação]],100)),)</f>
        <v>3400</v>
      </c>
      <c r="AW290" s="17">
        <f>Tabela3[[#This Row],[Ativos]]*[Lucro]</f>
        <v>6.8165951241037757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0.26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t="11.25" customHeight="1">
      <c r="A291" s="4" t="s">
        <v>289</v>
      </c>
      <c r="B291" s="57" t="s">
        <v>706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41810775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1" s="19">
        <f>IF(Tabela3[[#This Row],[Lucro Líquido]]&gt;0,Tabela3[[#This Row],[Lucro Líquido]]/Tabela3[[#This Row],[Patrimônio Líquido]],0)/Tabela3[[#This Row],[Ref]]*4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2.312588816579864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0.15</v>
      </c>
      <c r="AO291" s="44">
        <f>[Cotação]/[VPA]</f>
        <v>0.98515056195659856</v>
      </c>
      <c r="AP291" s="40">
        <f>IF(Tabela3[[#This Row],[Lucro/Ação]]&gt;0,Tabela3[[#This Row],[Cotação]]/(Tabela3[[#This Row],[Lucro/Ação]]/[Ref]*4),0)</f>
        <v>17.769135146621334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1.3365872792360345E-2</v>
      </c>
      <c r="AU291" s="42">
        <f>((1+Tabela3[[#This Row],[% Yield]])^(1/(3*Tabela3[[#This Row],[Ref]])))^(12)-1</f>
        <v>1.336587279236201E-2</v>
      </c>
      <c r="AV291" s="14">
        <f>IF([Cotação]&gt;0,($BH$1/Tabela3[[#This Row],[Cotação]]-MOD($BH$1/Tabela3[[#This Row],[Cotação]],100)),)</f>
        <v>6000</v>
      </c>
      <c r="AW291" s="17">
        <f>Tabela3[[#This Row],[Ativos]]*[Lucro]</f>
        <v>12.029285513124309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0.15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t="11.25" customHeight="1">
      <c r="A292" s="3" t="s">
        <v>270</v>
      </c>
      <c r="B292" s="58" t="s">
        <v>272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22401130900.880001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2" s="18">
        <f>IF(Tabela3[[#This Row],[Lucro Líquido]]&gt;0,Tabela3[[#This Row],[Lucro Líquido]]/Tabela3[[#This Row],[Patrimônio Líquido]],0)/Tabela3[[#This Row],[Ref]]*4</f>
        <v>4.7834528589629811E-2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2.312588816579864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7.61</v>
      </c>
      <c r="AO292" s="53">
        <f>[Cotação]/[VPA]</f>
        <v>1.0222297227985284</v>
      </c>
      <c r="AP292" s="37">
        <f>IF(Tabela3[[#This Row],[Lucro/Ação]]&gt;0,Tabela3[[#This Row],[Cotação]]/(Tabela3[[#This Row],[Lucro/Ação]]/[Ref]*4),0)</f>
        <v>21.37012223049566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8.3352354319158484E-3</v>
      </c>
      <c r="AU292" s="18">
        <f>((1+Tabela3[[#This Row],[% Yield]])^(1/(3*Tabela3[[#This Row],[Ref]])))^(12)-1</f>
        <v>1.1129057888280336E-2</v>
      </c>
      <c r="AV292" s="10">
        <f>IF([Cotação]&gt;0,($BH$1/Tabela3[[#This Row],[Cotação]]-MOD($BH$1/Tabela3[[#This Row],[Cotação]],100)),)</f>
        <v>100</v>
      </c>
      <c r="AW292" s="7">
        <f>Tabela3[[#This Row],[Ativos]]*[Lucro]</f>
        <v>6.3431141636879618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7.61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t="11.25" customHeight="1">
      <c r="A293" s="3" t="s">
        <v>1060</v>
      </c>
      <c r="B293" s="58" t="s">
        <v>1085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1029290401.77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3" s="18">
        <f>IF(Tabela3[[#This Row],[Lucro Líquido]]&gt;0,Tabela3[[#This Row],[Lucro Líquido]]/Tabela3[[#This Row],[Patrimônio Líquido]],0)/Tabela3[[#This Row],[Ref]]*4</f>
        <v>3.3680214478686812E-2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2.312588816579864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5.79</v>
      </c>
      <c r="AO293" s="53">
        <f>[Cotação]/[VPA]</f>
        <v>1.179782245183342</v>
      </c>
      <c r="AP293" s="37">
        <f>IF(Tabela3[[#This Row],[Lucro/Ação]]&gt;0,Tabela3[[#This Row],[Cotação]]/(Tabela3[[#This Row],[Lucro/Ação]]/[Ref]*4),0)</f>
        <v>35.028940980465556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5.0850809363415872E-3</v>
      </c>
      <c r="AU293" s="22">
        <f>((1+Tabela3[[#This Row],[% Yield]])^(1/(3*Tabela3[[#This Row],[Ref]])))^(12)-1</f>
        <v>6.7858476684121705E-3</v>
      </c>
      <c r="AV293" s="10">
        <f>IF([Cotação]&gt;0,($BH$1/Tabela3[[#This Row],[Cotação]]-MOD($BH$1/Tabela3[[#This Row],[Cotação]],100)),)</f>
        <v>100</v>
      </c>
      <c r="AW293" s="7">
        <f>Tabela3[[#This Row],[Ativos]]*[Lucro]</f>
        <v>2.9442618621417789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5.79</v>
      </c>
      <c r="BB293" s="7">
        <f>SUMPRODUCT(N(Tabela17683[Código]=Tabela3[[#This Row],[PAPEL]]),Tabela17683[Fechamento])</f>
        <v>0</v>
      </c>
    </row>
    <row r="294" spans="1:54" ht="11.25" customHeight="1">
      <c r="A294" s="3" t="s">
        <v>1060</v>
      </c>
      <c r="B294" s="58" t="s">
        <v>1076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1758415648.99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4" s="18">
        <f>IF(Tabela3[[#This Row],[Lucro Líquido]]&gt;0,Tabela3[[#This Row],[Lucro Líquido]]/Tabela3[[#This Row],[Patrimônio Líquido]],0)/Tabela3[[#This Row],[Ref]]*4</f>
        <v>4.859694194062647E-2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2.312588816579864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4.07</v>
      </c>
      <c r="AO294" s="53">
        <f>[Cotação]/[VPA]</f>
        <v>1.3357415935702057</v>
      </c>
      <c r="AP294" s="37">
        <f>IF(Tabela3[[#This Row],[Lucro/Ação]]&gt;0,Tabela3[[#This Row],[Cotação]]/(Tabela3[[#This Row],[Lucro/Ação]]/[Ref]*4),0)</f>
        <v>27.486124439726144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6.4805425876102423E-3</v>
      </c>
      <c r="AU294" s="22">
        <f>((1+Tabela3[[#This Row],[% Yield]])^(1/(3*Tabela3[[#This Row],[Ref]])))^(12)-1</f>
        <v>8.6500428087288306E-3</v>
      </c>
      <c r="AV294" s="10">
        <f>IF([Cotação]&gt;0,($BH$1/Tabela3[[#This Row],[Cotação]]-MOD($BH$1/Tabela3[[#This Row],[Cotação]],100)),)</f>
        <v>200</v>
      </c>
      <c r="AW294" s="7">
        <f>Tabela3[[#This Row],[Ativos]]*[Lucro]</f>
        <v>5.2751616663147383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4.07</v>
      </c>
      <c r="BB294" s="7">
        <f>SUMPRODUCT(N(Tabela17683[Código]=Tabela3[[#This Row],[PAPEL]]),Tabela17683[Fechamento])</f>
        <v>0</v>
      </c>
    </row>
    <row r="295" spans="1:54" ht="11.25" customHeight="1">
      <c r="A295" s="4" t="s">
        <v>251</v>
      </c>
      <c r="B295" s="60" t="s">
        <v>246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5" s="18">
        <f>IF(Tabela3[[#This Row],[Lucro Líquido]]&gt;0,Tabela3[[#This Row],[Lucro Líquido]]/Tabela3[[#This Row],[Patrimônio Líquido]],0)/Tabela3[[#This Row],[Ref]]*4</f>
        <v>4.9015952167613702E-2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2.312588816579864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 ht="11.25" customHeight="1">
      <c r="A296" s="4" t="s">
        <v>251</v>
      </c>
      <c r="B296" s="60" t="s">
        <v>247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211647220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6" s="18">
        <f>IF(Tabela3[[#This Row],[Lucro Líquido]]&gt;0,Tabela3[[#This Row],[Lucro Líquido]]/Tabela3[[#This Row],[Patrimônio Líquido]],0)/Tabela3[[#This Row],[Ref]]*4</f>
        <v>4.9015952167613702E-2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2.312588816579864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20</v>
      </c>
      <c r="AO296" s="53">
        <f>[Cotação]/[VPA]</f>
        <v>0.58894614404256374</v>
      </c>
      <c r="AP296" s="37">
        <f>IF(Tabela3[[#This Row],[Lucro/Ação]]&gt;0,Tabela3[[#This Row],[Cotação]]/(Tabela3[[#This Row],[Lucro/Ação]]/[Ref]*4),0)</f>
        <v>12.015397396109302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1.7789673778847652E-2</v>
      </c>
      <c r="AU296" s="22">
        <f>((1+Tabela3[[#This Row],[% Yield]])^(1/(3*Tabela3[[#This Row],[Ref]])))^(12)-1</f>
        <v>2.3789616278773851E-2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20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20</v>
      </c>
      <c r="BB296" s="7">
        <f>SUMPRODUCT(N(Tabela17683[Código]=Tabela3[[#This Row],[PAPEL]]),Tabela17683[Fechamento])</f>
        <v>0</v>
      </c>
    </row>
    <row r="297" spans="1:54" ht="11.25" customHeight="1">
      <c r="A297" s="3" t="s">
        <v>1216</v>
      </c>
      <c r="B297" s="58" t="s">
        <v>1217</v>
      </c>
      <c r="C297" s="16" t="str">
        <f>LEFT([PAPEL],LEN([PAPEL])-(LEN([PAPEL])-4))</f>
        <v>JSLG</v>
      </c>
      <c r="D297" s="16">
        <v>4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>
        <v>5035404000</v>
      </c>
      <c r="N297" s="54">
        <v>1162216000</v>
      </c>
      <c r="O297" s="54">
        <v>811530000</v>
      </c>
      <c r="P297" s="91">
        <v>1014637000</v>
      </c>
      <c r="Q297" s="73">
        <v>93585000</v>
      </c>
      <c r="R297" s="73">
        <f>IF(Tabela3[[#This Row],[Ativo || Passivo]]&gt;0,Tabela3[[#This Row],[Ativo || Passivo]]-Tabela3[[#This Row],[Patrimônio Líquido]],0)</f>
        <v>4020767000</v>
      </c>
      <c r="S297" s="73">
        <f>Tabela3[[#This Row],[Cotação]]*Tabela3[[#This Row],[Total Ações]]</f>
        <v>3046027832.7000003</v>
      </c>
      <c r="T297" s="37">
        <f>IF(Tabela3[[#This Row],[Passivo Circulante]]&gt;0,Tabela3[[#This Row],[Ativo Circulante]]/Tabela3[[#This Row],[Passivo Circulante]],0)</f>
        <v>1.4321294345249098</v>
      </c>
      <c r="U29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7" s="18">
        <f>IF(Tabela3[[#This Row],[Lucro Líquido]]&gt;0,Tabela3[[#This Row],[Lucro Líquido]]/Tabela3[[#This Row],[Patrimônio Líquido]],0)/Tabela3[[#This Row],[Ref]]*4</f>
        <v>9.2234956935337467E-2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7" s="18">
        <f>IF(Tabela3[[#This Row],[Dívida]]&gt;0,Tabela3[[#This Row],[Dívida]]/Tabela3[[#This Row],[Patrimônio Líquido]],0)</f>
        <v>3.9627640229954162</v>
      </c>
      <c r="Y297" s="18">
        <f>SUMPRODUCT(N([Dívida / PL]&gt;0),N(RIGHT([PAPEL],LEN([PAPEL])-(LEN([PAPEL])-1))="3"),[Dívida / PL])/SUMPRODUCT(N([Dívida / PL]&gt;0),N(RIGHT([PAPEL],LEN([PAPEL])-(LEN([PAPEL])-1))="3"))</f>
        <v>2.312588816579864</v>
      </c>
      <c r="Z297" s="7">
        <f>Tabela3[[#This Row],[Capital Social]]*20%</f>
        <v>135322840.71400002</v>
      </c>
      <c r="AA297" s="47">
        <f>IF(([Lucro Líquido]*5%)&gt;[Teto R. Legal],[Teto R. Legal],[Lucro Líquido]*5%)</f>
        <v>4679250</v>
      </c>
      <c r="AB297" s="47">
        <f>IF([Lucro Líquido]&lt;0,0,[Lucro Líquido]-[Reserva Legal])</f>
        <v>88905750</v>
      </c>
      <c r="AC297" s="47">
        <f>Tabela3[[#This Row],[Lucro Distribuir]]*[%Div]</f>
        <v>22226437.5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0.43166685342940531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7" s="7">
        <f>[Div Base]*[Ações]</f>
        <v>22226437.5</v>
      </c>
      <c r="AL297" s="120">
        <f>SUMPRODUCT(N([Nome]=Tabela3[[#This Row],[Nome]]),[Div Base]*[Ações])</f>
        <v>22226437.5</v>
      </c>
      <c r="AM297" s="5">
        <f>[Patrimônio Líquido]/[Total Ações]</f>
        <v>4.6800786575097666</v>
      </c>
      <c r="AN297" s="52">
        <f>MAX(Tabela3[[#This Row],[Cotação 1]:[Cotação 5]])</f>
        <v>14.05</v>
      </c>
      <c r="AO297" s="53">
        <f>[Cotação]/[VPA]</f>
        <v>3.0020862955914285</v>
      </c>
      <c r="AP297" s="37">
        <f>IF(Tabela3[[#This Row],[Lucro/Ação]]&gt;0,Tabela3[[#This Row],[Cotação]]/(Tabela3[[#This Row],[Lucro/Ação]]/[Ref]*4),0)</f>
        <v>32.54824846610034</v>
      </c>
      <c r="AQ297" s="85">
        <f>[Lucro Distribuir]/[Total Ações]</f>
        <v>0.41008351075793503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7.2968596220273135E-3</v>
      </c>
      <c r="AU297" s="22">
        <f>((1+Tabela3[[#This Row],[% Yield]])^(1/(3*Tabela3[[#This Row],[Ref]])))^(12)-1</f>
        <v>7.2968596220270854E-3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14.05</v>
      </c>
    </row>
    <row r="298" spans="1:54" ht="11.25" customHeight="1">
      <c r="A298" s="3" t="s">
        <v>1268</v>
      </c>
      <c r="B298" s="57" t="s">
        <v>1258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936379390.55999994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8" s="18">
        <f>IF(Tabela3[[#This Row],[Lucro Líquido]]&gt;0,Tabela3[[#This Row],[Lucro Líquido]]/Tabela3[[#This Row],[Patrimônio Líquido]],0)/Tabela3[[#This Row],[Ref]]*4</f>
        <v>0.14044863958149717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2.312588816579864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35.76</v>
      </c>
      <c r="AO298" s="53">
        <f>[Cotação]/[VPA]</f>
        <v>2.6622107598441986</v>
      </c>
      <c r="AP298" s="37">
        <f>IF(Tabela3[[#This Row],[Lucro/Ação]]&gt;0,Tabela3[[#This Row],[Cotação]]/(Tabela3[[#This Row],[Lucro/Ação]]/[Ref]*4),0)</f>
        <v>18.955048391902832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9.397232669481918E-3</v>
      </c>
      <c r="AU298" s="22">
        <f>((1+Tabela3[[#This Row],[% Yield]])^(1/(3*Tabela3[[#This Row],[Ref]])))^(12)-1</f>
        <v>1.2549226734654084E-2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35.76</v>
      </c>
    </row>
    <row r="299" spans="1:54" ht="11.25" customHeight="1">
      <c r="A299" s="4" t="s">
        <v>19</v>
      </c>
      <c r="B299" s="58" t="s">
        <v>671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52812829947.809998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9" s="19">
        <f>IF(Tabela3[[#This Row],[Lucro Líquido]]&gt;0,Tabela3[[#This Row],[Lucro Líquido]]/Tabela3[[#This Row],[Patrimônio Líquido]],0)/Tabela3[[#This Row],[Ref]]*4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2.312588816579864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55.83</v>
      </c>
      <c r="AO299" s="53">
        <f>[Cotação]/[VPA]</f>
        <v>9.7934528402755063</v>
      </c>
      <c r="AP299" s="37">
        <f>IF(Tabela3[[#This Row],[Lucro/Ação]]&gt;0,Tabela3[[#This Row],[Cotação]]/(Tabela3[[#This Row],[Lucro/Ação]]/[Ref]*4),0)</f>
        <v>182.05231335660142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6.522850372540679E-3</v>
      </c>
      <c r="AU299" s="18">
        <f>((1+Tabela3[[#This Row],[% Yield]])^(1/(3*Tabela3[[#This Row],[Ref]])))^(12)-1</f>
        <v>6.522850372540967E-3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55.83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 ht="11.25" customHeight="1">
      <c r="A300" s="4" t="s">
        <v>19</v>
      </c>
      <c r="B300" s="58" t="s">
        <v>182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0" s="19">
        <f>IF(Tabela3[[#This Row],[Lucro Líquido]]&gt;0,Tabela3[[#This Row],[Lucro Líquido]]/Tabela3[[#This Row],[Patrimônio Líquido]],0)/Tabela3[[#This Row],[Ref]]*4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2.312588816579864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t="11.25" customHeight="1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10566349821.190001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1" s="19">
        <f>IF(Tabela3[[#This Row],[Lucro Líquido]]&gt;0,Tabela3[[#This Row],[Lucro Líquido]]/Tabela3[[#This Row],[Patrimônio Líquido]],0)/Tabela3[[#This Row],[Ref]]*4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2.312588816579864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11.17</v>
      </c>
      <c r="AO301" s="44">
        <f>[Cotação]/[VPA]</f>
        <v>1.9593922304473834</v>
      </c>
      <c r="AP301" s="40">
        <f>IF(Tabela3[[#This Row],[Lucro/Ação]]&gt;0,Tabela3[[#This Row],[Cotação]]/(Tabela3[[#This Row],[Lucro/Ação]]/[Ref]*4),0)</f>
        <v>36.423506003819412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6.520514526391157E-3</v>
      </c>
      <c r="AU301" s="19">
        <f>((1+Tabela3[[#This Row],[% Yield]])^(1/(3*Tabela3[[#This Row],[Ref]])))^(12)-1</f>
        <v>6.5205145263924624E-3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11.17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t="11.25" customHeight="1">
      <c r="A302" s="3" t="s">
        <v>782</v>
      </c>
      <c r="B302" s="58" t="s">
        <v>783</v>
      </c>
      <c r="C302" s="16" t="str">
        <f>LEFT([PAPEL],LEN([PAPEL])-(LEN([PAPEL])-4))</f>
        <v>LAME</v>
      </c>
      <c r="D302" s="16">
        <v>3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/>
      <c r="N302" s="54"/>
      <c r="O302" s="54"/>
      <c r="P302" s="91">
        <v>985348000</v>
      </c>
      <c r="Q302" s="73">
        <v>189658000</v>
      </c>
      <c r="R302" s="73">
        <f>IF(Tabela3[[#This Row],[Ativo || Passivo]]&gt;0,Tabela3[[#This Row],[Ativo || Passivo]]-Tabela3[[#This Row],[Patrimônio Líquido]],0)</f>
        <v>0</v>
      </c>
      <c r="S302" s="73">
        <f>Tabela3[[#This Row],[Cotação]]*Tabela3[[#This Row],[Total Ações]]</f>
        <v>12173208890.5</v>
      </c>
      <c r="T302" s="37">
        <f>IF(Tabela3[[#This Row],[Passivo Circulante]]&gt;0,Tabela3[[#This Row],[Ativo Circulante]]/Tabela3[[#This Row],[Passivo Circulante]],0)</f>
        <v>0</v>
      </c>
      <c r="U30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2" s="18">
        <f>IF(Tabela3[[#This Row],[Lucro Líquido]]&gt;0,Tabela3[[#This Row],[Lucro Líquido]]/Tabela3[[#This Row],[Patrimônio Líquido]],0)/Tabela3[[#This Row],[Ref]]*4</f>
        <v>0.25663758726189462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2" s="18">
        <f>IF(Tabela3[[#This Row],[Dívida]]&gt;0,Tabela3[[#This Row],[Dívida]]/Tabela3[[#This Row],[Patrimônio Líquido]],0)</f>
        <v>0</v>
      </c>
      <c r="Y302" s="18">
        <f>SUMPRODUCT(N([Dívida / PL]&gt;0),N(RIGHT([PAPEL],LEN([PAPEL])-(LEN([PAPEL])-1))="3"),[Dívida / PL])/SUMPRODUCT(N([Dívida / PL]&gt;0),N(RIGHT([PAPEL],LEN([PAPEL])-(LEN([PAPEL])-1))="3"))</f>
        <v>2.312588816579864</v>
      </c>
      <c r="Z302" s="7">
        <f>Tabela3[[#This Row],[Capital Social]]*20%</f>
        <v>109769626.48</v>
      </c>
      <c r="AA302" s="47">
        <f>IF(([Lucro Líquido]*5%)&gt;[Teto R. Legal],[Teto R. Legal],[Lucro Líquido]*5%)</f>
        <v>9482900</v>
      </c>
      <c r="AB302" s="47">
        <f>IF([Lucro Líquido]&lt;0,0,[Lucro Líquido]-[Reserva Legal])</f>
        <v>180175100</v>
      </c>
      <c r="AC302" s="47">
        <f>Tabela3[[#This Row],[Lucro Distribuir]]*[%Div]</f>
        <v>45043775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0.19085440173569326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2" s="7">
        <f>[Div Base]*[Ações]</f>
        <v>16636483.615531305</v>
      </c>
      <c r="AL302" s="7">
        <f>SUMPRODUCT(N([Nome]=Tabela3[[#This Row],[Nome]]),[Div Base]*[Ações])</f>
        <v>45043775</v>
      </c>
      <c r="AM302" s="5">
        <f>[Patrimônio Líquido]/[Total Ações]</f>
        <v>0.9915637781768335</v>
      </c>
      <c r="AN302" s="52">
        <f>MAX(Tabela3[[#This Row],[Cotação 1]:[Cotação 5]])</f>
        <v>12.25</v>
      </c>
      <c r="AO302" s="53">
        <f>[Cotação]/[VPA]</f>
        <v>12.354222965388878</v>
      </c>
      <c r="AP302" s="37">
        <f>IF(Tabela3[[#This Row],[Lucro/Ação]]&gt;0,Tabela3[[#This Row],[Cotação]]/(Tabela3[[#This Row],[Lucro/Ação]]/[Ref]*4),0)</f>
        <v>48.138790179560047</v>
      </c>
      <c r="AQ302" s="85">
        <f>[Lucro Distribuir]/[Total Ações]</f>
        <v>0.18131168164890862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2" s="10" t="str">
        <f>IF(AND([% A.A.]&gt;=5%,SUMPRODUCT(N([Nome]=Tabela3[[#This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3.7002384009981351E-3</v>
      </c>
      <c r="AU302" s="22">
        <f>((1+Tabela3[[#This Row],[% Yield]])^(1/(3*Tabela3[[#This Row],[Ref]])))^(12)-1</f>
        <v>4.9366913175870053E-3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12.25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t="11.25" customHeight="1">
      <c r="A303" s="3" t="s">
        <v>782</v>
      </c>
      <c r="B303" s="58" t="s">
        <v>784</v>
      </c>
      <c r="C303" s="16" t="str">
        <f>LEFT([PAPEL],LEN([PAPEL])-(LEN([PAPEL])-4))</f>
        <v>LAME</v>
      </c>
      <c r="D303" s="16">
        <v>3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/>
      <c r="N303" s="54"/>
      <c r="O303" s="54"/>
      <c r="P303" s="91">
        <v>985348000</v>
      </c>
      <c r="Q303" s="73">
        <v>189658000</v>
      </c>
      <c r="R303" s="73">
        <f>IF(Tabela3[[#This Row],[Ativo || Passivo]]&gt;0,Tabela3[[#This Row],[Ativo || Passivo]]-Tabela3[[#This Row],[Patrimônio Líquido]],0)</f>
        <v>0</v>
      </c>
      <c r="S303" s="73">
        <f>Tabela3[[#This Row],[Cotação]]*Tabela3[[#This Row],[Total Ações]]</f>
        <v>14130859626.360001</v>
      </c>
      <c r="T303" s="37">
        <f>IF(Tabela3[[#This Row],[Passivo Circulante]]&gt;0,Tabela3[[#This Row],[Ativo Circulante]]/Tabela3[[#This Row],[Passivo Circulante]],0)</f>
        <v>0</v>
      </c>
      <c r="U30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3" s="18">
        <f>IF(Tabela3[[#This Row],[Lucro Líquido]]&gt;0,Tabela3[[#This Row],[Lucro Líquido]]/Tabela3[[#This Row],[Patrimônio Líquido]],0)/Tabela3[[#This Row],[Ref]]*4</f>
        <v>0.25663758726189462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3" s="18">
        <f>IF(Tabela3[[#This Row],[Dívida]]&gt;0,Tabela3[[#This Row],[Dívida]]/Tabela3[[#This Row],[Patrimônio Líquido]],0)</f>
        <v>0</v>
      </c>
      <c r="Y303" s="18">
        <f>SUMPRODUCT(N([Dívida / PL]&gt;0),N(RIGHT([PAPEL],LEN([PAPEL])-(LEN([PAPEL])-1))="3"),[Dívida / PL])/SUMPRODUCT(N([Dívida / PL]&gt;0),N(RIGHT([PAPEL],LEN([PAPEL])-(LEN([PAPEL])-1))="3"))</f>
        <v>2.312588816579864</v>
      </c>
      <c r="Z303" s="7">
        <f>Tabela3[[#This Row],[Capital Social]]*20%</f>
        <v>109769626.48</v>
      </c>
      <c r="AA303" s="47">
        <f>IF(([Lucro Líquido]*5%)&gt;[Teto R. Legal],[Teto R. Legal],[Lucro Líquido]*5%)</f>
        <v>9482900</v>
      </c>
      <c r="AB303" s="47">
        <f>IF([Lucro Líquido]&lt;0,0,[Lucro Líquido]-[Reserva Legal])</f>
        <v>180175100</v>
      </c>
      <c r="AC303" s="47">
        <f>Tabela3[[#This Row],[Lucro Distribuir]]*[%Div]</f>
        <v>45043775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0.19085440173569326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3" s="7">
        <f>[Div Base]*[Ações]</f>
        <v>28407291.384468697</v>
      </c>
      <c r="AL303" s="7">
        <f>SUMPRODUCT(N([Nome]=Tabela3[[#This Row],[Nome]]),[Div Base]*[Ações])</f>
        <v>45043775</v>
      </c>
      <c r="AM303" s="5">
        <f>[Patrimônio Líquido]/[Total Ações]</f>
        <v>0.9915637781768335</v>
      </c>
      <c r="AN303" s="52">
        <f>MAX(Tabela3[[#This Row],[Cotação 1]:[Cotação 5]])</f>
        <v>14.22</v>
      </c>
      <c r="AO303" s="53">
        <f>[Cotação]/[VPA]</f>
        <v>14.340983719822846</v>
      </c>
      <c r="AP303" s="37">
        <f>IF(Tabela3[[#This Row],[Lucro/Ação]]&gt;0,Tabela3[[#This Row],[Cotação]]/(Tabela3[[#This Row],[Lucro/Ação]]/[Ref]*4),0)</f>
        <v>55.880293579864812</v>
      </c>
      <c r="AQ303" s="85">
        <f>[Lucro Distribuir]/[Total Ações]</f>
        <v>0.18131168164890862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3.1876174692142866E-3</v>
      </c>
      <c r="AU303" s="22">
        <f>((1+Tabela3[[#This Row],[% Yield]])^(1/(3*Tabela3[[#This Row],[Ref]])))^(12)-1</f>
        <v>4.2524130071972532E-3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14.22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t="11.25" customHeight="1">
      <c r="A304" s="3" t="s">
        <v>305</v>
      </c>
      <c r="B304" s="58" t="s">
        <v>306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261602794.43999997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4" s="18">
        <f>IF(Tabela3[[#This Row],[Lucro Líquido]]&gt;0,Tabela3[[#This Row],[Lucro Líquido]]/Tabela3[[#This Row],[Patrimônio Líquido]],0)/Tabela3[[#This Row],[Ref]]*4</f>
        <v>9.5665647817965702E-2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2.312588816579864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4.0199999999999996</v>
      </c>
      <c r="AO304" s="53">
        <f>[Cotação]/[VPA]</f>
        <v>0.83291771026490058</v>
      </c>
      <c r="AP304" s="37">
        <f>IF(Tabela3[[#This Row],[Lucro/Ação]]&gt;0,Tabela3[[#This Row],[Cotação]]/(Tabela3[[#This Row],[Lucro/Ação]]/[Ref]*4),0)</f>
        <v>8.7065496263589957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2.0458735968233416E-2</v>
      </c>
      <c r="AU304" s="18">
        <f>((1+Tabela3[[#This Row],[% Yield]])^(1/(3*Tabela3[[#This Row],[Ref]])))^(12)-1</f>
        <v>2.7370908621966228E-2</v>
      </c>
      <c r="AV304" s="10">
        <f>IF([Cotação]&gt;0,($BH$1/Tabela3[[#This Row],[Cotação]]-MOD($BH$1/Tabela3[[#This Row],[Cotação]],100)),)</f>
        <v>200</v>
      </c>
      <c r="AW304" s="7">
        <f>Tabela3[[#This Row],[Ativos]]*[Lucro]</f>
        <v>16.448823718459664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4.0199999999999996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t="11.25" customHeight="1">
      <c r="A305" s="3" t="s">
        <v>1320</v>
      </c>
      <c r="B305" s="57" t="s">
        <v>1289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2926716885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5" s="18">
        <f>IF(Tabela3[[#This Row],[Lucro Líquido]]&gt;0,Tabela3[[#This Row],[Lucro Líquido]]/Tabela3[[#This Row],[Patrimônio Líquido]],0)/Tabela3[[#This Row],[Ref]]*4</f>
        <v>0.15786139370598753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2.312588816579864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22.81</v>
      </c>
      <c r="AO305" s="53">
        <f>[Cotação]/[VPA]</f>
        <v>2.0360166215411497</v>
      </c>
      <c r="AP305" s="37">
        <f>IF(Tabela3[[#This Row],[Lucro/Ação]]&gt;0,Tabela3[[#This Row],[Cotação]]/(Tabela3[[#This Row],[Lucro/Ação]]/[Ref]*4),0)</f>
        <v>12.897495541773653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1.3810820823552259E-2</v>
      </c>
      <c r="AU305" s="22">
        <f>((1+Tabela3[[#This Row],[% Yield]])^(1/(3*Tabela3[[#This Row],[Ref]])))^(12)-1</f>
        <v>1.8456684814727176E-2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22.81</v>
      </c>
    </row>
    <row r="306" spans="1:54" ht="11.25" customHeight="1">
      <c r="A306" s="4" t="s">
        <v>284</v>
      </c>
      <c r="B306" s="57" t="s">
        <v>526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924462459.89999998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6" s="18">
        <f>IF(Tabela3[[#This Row],[Lucro Líquido]]&gt;0,Tabela3[[#This Row],[Lucro Líquido]]/Tabela3[[#This Row],[Patrimônio Líquido]],0)/Tabela3[[#This Row],[Ref]]*4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2.312588816579864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1.7</v>
      </c>
      <c r="AO306" s="53">
        <f>[Cotação]/[VPA]</f>
        <v>1.3044537508977745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500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1.7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t="11.25" customHeight="1">
      <c r="A307" s="4" t="s">
        <v>284</v>
      </c>
      <c r="B307" s="57" t="s">
        <v>527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2006627339.4300001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7" s="18">
        <f>IF(Tabela3[[#This Row],[Lucro Líquido]]&gt;0,Tabela3[[#This Row],[Lucro Líquido]]/Tabela3[[#This Row],[Patrimônio Líquido]],0)/Tabela3[[#This Row],[Ref]]*4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2.312588816579864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3.69</v>
      </c>
      <c r="AO307" s="44">
        <f>[Cotação]/[VPA]</f>
        <v>2.8314319651839925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A.A.]&gt;=5%,SUMPRODUCT(N([Nome]=Tabela3[[#This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200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3.69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t="11.25" customHeight="1">
      <c r="A308" s="3" t="s">
        <v>1034</v>
      </c>
      <c r="B308" s="58" t="s">
        <v>1045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8" s="18">
        <f>IF(Tabela3[[#This Row],[Lucro Líquido]]&gt;0,Tabela3[[#This Row],[Lucro Líquido]]/Tabela3[[#This Row],[Patrimônio Líquido]],0)/Tabela3[[#This Row],[Ref]]*4</f>
        <v>4.3290043290043288E-2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2.312588816579864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A.A.]&gt;=5%,SUMPRODUCT(N([Nome]=Tabela3[[#This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t="11.25" customHeight="1">
      <c r="A309" s="3" t="s">
        <v>1034</v>
      </c>
      <c r="B309" s="58" t="s">
        <v>1046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8911740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9" s="18">
        <f>IF(Tabela3[[#This Row],[Lucro Líquido]]&gt;0,Tabela3[[#This Row],[Lucro Líquido]]/Tabela3[[#This Row],[Patrimônio Líquido]],0)/Tabela3[[#This Row],[Ref]]*4</f>
        <v>4.3290043290043288E-2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2.312588816579864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68</v>
      </c>
      <c r="AO309" s="53">
        <f>[Cotação]/[VPA]</f>
        <v>2.2257092907092906</v>
      </c>
      <c r="AP309" s="37">
        <f>IF(Tabela3[[#This Row],[Lucro/Ação]]&gt;0,Tabela3[[#This Row],[Cotação]]/(Tabela3[[#This Row],[Lucro/Ação]]/[Ref]*4),0)</f>
        <v>51.413884615384617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3.4645310567857678E-3</v>
      </c>
      <c r="AU309" s="22">
        <f>((1+Tabela3[[#This Row],[% Yield]])^(1/(3*Tabela3[[#This Row],[Ref]])))^(12)-1</f>
        <v>4.6220400196528288E-3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68</v>
      </c>
      <c r="BB309" s="7">
        <f>SUMPRODUCT(N(Tabela17683[Código]=Tabela3[[#This Row],[PAPEL]]),Tabela17683[Fechamento])</f>
        <v>0</v>
      </c>
    </row>
    <row r="310" spans="1:54" ht="11.25" customHeight="1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3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3488751000</v>
      </c>
      <c r="N310" s="54">
        <v>17106000</v>
      </c>
      <c r="O310" s="54">
        <v>95470000</v>
      </c>
      <c r="P310" s="89">
        <v>3392238000</v>
      </c>
      <c r="Q310" s="89">
        <v>458325000</v>
      </c>
      <c r="R310" s="89">
        <f>IF(Tabela3[[#This Row],[Ativo || Passivo]]&gt;0,Tabela3[[#This Row],[Ativo || Passivo]]-Tabela3[[#This Row],[Patrimônio Líquido]],0)</f>
        <v>96513000</v>
      </c>
      <c r="S310" s="89">
        <f>Tabela3[[#This Row],[Cotação]]*Tabela3[[#This Row],[Total Ações]]</f>
        <v>3252748257</v>
      </c>
      <c r="T310" s="132">
        <f>IF(Tabela3[[#This Row],[Passivo Circulante]]&gt;0,Tabela3[[#This Row],[Ativo Circulante]]/Tabela3[[#This Row],[Passivo Circulante]],0)</f>
        <v>0.17917670472399708</v>
      </c>
      <c r="U31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0" s="19">
        <f>IF(Tabela3[[#This Row],[Lucro Líquido]]&gt;0,Tabela3[[#This Row],[Lucro Líquido]]/Tabela3[[#This Row],[Patrimônio Líquido]],0)/Tabela3[[#This Row],[Ref]]*4</f>
        <v>0.18014655811296257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0" s="19">
        <f>IF(Tabela3[[#This Row],[Dívida]]&gt;0,Tabela3[[#This Row],[Dívida]]/Tabela3[[#This Row],[Patrimônio Líquido]],0)</f>
        <v>2.8451128723869019E-2</v>
      </c>
      <c r="Y310" s="19">
        <f>SUMPRODUCT(N([Dívida / PL]&gt;0),N(RIGHT([PAPEL],LEN([PAPEL])-(LEN([PAPEL])-1))="3"),[Dívida / PL])/SUMPRODUCT(N([Dívida / PL]&gt;0),N(RIGHT([PAPEL],LEN([PAPEL])-(LEN([PAPEL])-1))="3"))</f>
        <v>2.312588816579864</v>
      </c>
      <c r="Z310" s="6">
        <f>Tabela3[[#This Row],[Capital Social]]*20%</f>
        <v>445164439.57800001</v>
      </c>
      <c r="AA310" s="6">
        <f>IF(([Lucro Líquido]*5%)&gt;[Teto R. Legal],[Teto R. Legal],[Lucro Líquido]*5%)</f>
        <v>22916250</v>
      </c>
      <c r="AB310" s="89">
        <f>IF([Lucro Líquido]&lt;0,0,[Lucro Líquido]-[Reserva Legal])</f>
        <v>435408750</v>
      </c>
      <c r="AC310" s="89">
        <f>Tabela3[[#This Row],[Lucro Distribuir]]*[%Div]</f>
        <v>108852187.5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2.2474176211663712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AK310" s="6">
        <f>[Div Base]*[Ações]</f>
        <v>108852187.5</v>
      </c>
      <c r="AL310" s="6">
        <f>SUMPRODUCT(N([Nome]=Tabela3[[#This Row],[Nome]]),[Div Base]*[Ações])</f>
        <v>108852187.5</v>
      </c>
      <c r="AM310" s="6">
        <f>[Patrimônio Líquido]/[Total Ações]</f>
        <v>16.633994341112025</v>
      </c>
      <c r="AN310" s="39">
        <f>MAX(Tabela3[[#This Row],[Cotação 1]:[Cotação 5]])</f>
        <v>15.95</v>
      </c>
      <c r="AO310" s="44">
        <f>[Cotação]/[VPA]</f>
        <v>0.95887972984206871</v>
      </c>
      <c r="AP310" s="40">
        <f>IF(Tabela3[[#This Row],[Lucro/Ação]]&gt;0,Tabela3[[#This Row],[Cotação]]/(Tabela3[[#This Row],[Lucro/Ação]]/[Ref]*4),0)</f>
        <v>5.3227757437407943</v>
      </c>
      <c r="AQ310" s="78">
        <f>[Lucro Distribuir]/[Total Ações]</f>
        <v>2.1350467401080526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S310" s="14" t="str">
        <f>IF(AND([% A.A.]&gt;=5%,SUMPRODUCT(N([Nome]=Tabela3[[#This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3.3464682446834683E-2</v>
      </c>
      <c r="AU310" s="19">
        <f>((1+Tabela3[[#This Row],[% Yield]])^(1/(3*Tabela3[[#This Row],[Ref]])))^(12)-1</f>
        <v>4.4866614580724162E-2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15.95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t="11.25" customHeight="1">
      <c r="A311" s="4" t="s">
        <v>562</v>
      </c>
      <c r="B311" s="57" t="s">
        <v>563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2075952685.1700001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1" s="19">
        <f>IF(Tabela3[[#This Row],[Lucro Líquido]]&gt;0,Tabela3[[#This Row],[Lucro Líquido]]/Tabela3[[#This Row],[Patrimônio Líquido]],0)/Tabela3[[#This Row],[Ref]]*4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2.312588816579864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44.59</v>
      </c>
      <c r="AO311" s="44">
        <f>[Cotação]/[VPA]</f>
        <v>3.5403460019612192</v>
      </c>
      <c r="AP311" s="40">
        <f>IF(Tabela3[[#This Row],[Lucro/Ação]]&gt;0,Tabela3[[#This Row],[Cotação]]/(Tabela3[[#This Row],[Lucro/Ação]]/[Ref]*4),0)</f>
        <v>33.263141887037335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7.1400350816695967E-3</v>
      </c>
      <c r="AU311" s="42">
        <f>((1+Tabela3[[#This Row],[% Yield]])^(1/(3*Tabela3[[#This Row],[Ref]])))^(12)-1</f>
        <v>7.1400350816677172E-3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44.59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t="11.25" customHeight="1">
      <c r="A312" s="4" t="s">
        <v>12</v>
      </c>
      <c r="B312" s="60" t="s">
        <v>161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2" s="19">
        <f>IF(Tabela3[[#This Row],[Lucro Líquido]]&gt;0,Tabela3[[#This Row],[Lucro Líquido]]/Tabela3[[#This Row],[Patrimônio Líquido]],0)/Tabela3[[#This Row],[Ref]]*4</f>
        <v>4.6614830974622885E-2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2.312588816579864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t="11.25" customHeight="1">
      <c r="A313" s="3" t="s">
        <v>1126</v>
      </c>
      <c r="B313" s="57" t="s">
        <v>1107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32981869.25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3" s="18">
        <f>IF(Tabela3[[#This Row],[Lucro Líquido]]&gt;0,Tabela3[[#This Row],[Lucro Líquido]]/Tabela3[[#This Row],[Patrimônio Líquido]],0)/Tabela3[[#This Row],[Ref]]*4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2.312588816579864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2.75</v>
      </c>
      <c r="AO313" s="53">
        <f>[Cotação]/[VPA]</f>
        <v>0.80602823260587997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A.A.]&gt;=5%,SUMPRODUCT(N([Nome]=Tabela3[[#This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300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2.75</v>
      </c>
    </row>
    <row r="314" spans="1:54" ht="11.25" customHeight="1">
      <c r="A314" s="3" t="s">
        <v>1126</v>
      </c>
      <c r="B314" s="57" t="s">
        <v>1108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36699825.420000002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4" s="18">
        <f>IF(Tabela3[[#This Row],[Lucro Líquido]]&gt;0,Tabela3[[#This Row],[Lucro Líquido]]/Tabela3[[#This Row],[Patrimônio Líquido]],0)/Tabela3[[#This Row],[Ref]]*4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2.312588816579864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3.06</v>
      </c>
      <c r="AO314" s="53">
        <f>[Cotação]/[VPA]</f>
        <v>0.89688959700872462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200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3.06</v>
      </c>
    </row>
    <row r="315" spans="1:54" ht="11.25" customHeight="1">
      <c r="A315" s="3" t="s">
        <v>1034</v>
      </c>
      <c r="B315" s="58" t="s">
        <v>1032</v>
      </c>
      <c r="C315" s="16" t="str">
        <f>LEFT([PAPEL],LEN([PAPEL])-(LEN([PAPEL])-4))</f>
        <v>LLIS</v>
      </c>
      <c r="D315" s="16">
        <v>4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>
        <v>989623000</v>
      </c>
      <c r="N315" s="54">
        <v>502977000</v>
      </c>
      <c r="O315" s="54">
        <v>263063000</v>
      </c>
      <c r="P315" s="91">
        <v>156121000</v>
      </c>
      <c r="Q315" s="73">
        <v>-18408000</v>
      </c>
      <c r="R315" s="73">
        <f>IF(Tabela3[[#This Row],[Ativo || Passivo]]&gt;0,Tabela3[[#This Row],[Ativo || Passivo]]-Tabela3[[#This Row],[Patrimônio Líquido]],0)</f>
        <v>833502000</v>
      </c>
      <c r="S315" s="73">
        <f>Tabela3[[#This Row],[Cotação]]*Tabela3[[#This Row],[Total Ações]]</f>
        <v>1028739236.54</v>
      </c>
      <c r="T315" s="37">
        <f>IF(Tabela3[[#This Row],[Passivo Circulante]]&gt;0,Tabela3[[#This Row],[Ativo Circulante]]/Tabela3[[#This Row],[Passivo Circulante]],0)</f>
        <v>1.9120020679457013</v>
      </c>
      <c r="U31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5" s="18">
        <f>IF(Tabela3[[#This Row],[Lucro Líquido]]&gt;0,Tabela3[[#This Row],[Lucro Líquido]]/Tabela3[[#This Row],[Patrimônio Líquido]],0)/Tabela3[[#This Row],[Ref]]*4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5" s="18">
        <f>IF(Tabela3[[#This Row],[Dívida]]&gt;0,Tabela3[[#This Row],[Dívida]]/Tabela3[[#This Row],[Patrimônio Líquido]],0)</f>
        <v>5.338820530229758</v>
      </c>
      <c r="Y315" s="18">
        <f>SUMPRODUCT(N([Dívida / PL]&gt;0),N(RIGHT([PAPEL],LEN([PAPEL])-(LEN([PAPEL])-1))="3"),[Dívida / PL])/SUMPRODUCT(N([Dívida / PL]&gt;0),N(RIGHT([PAPEL],LEN([PAPEL])-(LEN([PAPEL])-1))="3"))</f>
        <v>2.312588816579864</v>
      </c>
      <c r="Z315" s="7">
        <f>Tabela3[[#This Row],[Capital Social]]*20%</f>
        <v>26230000</v>
      </c>
      <c r="AA315" s="47">
        <f>IF(([Lucro Líquido]*5%)&gt;[Teto R. Legal],[Teto R. Legal],[Lucro Líquido]*5%)</f>
        <v>-920400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-0.1075414216454826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0.91207487444124236</v>
      </c>
      <c r="AN315" s="52">
        <f>MAX(Tabela3[[#This Row],[Cotação 1]:[Cotação 5]])</f>
        <v>6.01</v>
      </c>
      <c r="AO315" s="53">
        <f>[Cotação]/[VPA]</f>
        <v>6.5893712988002893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100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6.01</v>
      </c>
      <c r="BB315" s="7">
        <f>SUMPRODUCT(N(Tabela17683[Código]=Tabela3[[#This Row],[PAPEL]]),Tabela17683[Fechamento])</f>
        <v>0</v>
      </c>
    </row>
    <row r="316" spans="1:54" ht="11.25" customHeight="1">
      <c r="A316" s="3" t="s">
        <v>1183</v>
      </c>
      <c r="B316" s="57" t="s">
        <v>1186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1546402998.5699999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6" s="18">
        <f>IF(Tabela3[[#This Row],[Lucro Líquido]]&gt;0,Tabela3[[#This Row],[Lucro Líquido]]/Tabela3[[#This Row],[Patrimônio Líquido]],0)/Tabela3[[#This Row],[Ref]]*4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2.312588816579864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0.87</v>
      </c>
      <c r="AO316" s="53">
        <f>[Cotação]/[VPA]</f>
        <v>1.9983523686063898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1000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0.87</v>
      </c>
    </row>
    <row r="317" spans="1:54" ht="11.25" customHeight="1">
      <c r="A317" s="3" t="s">
        <v>1208</v>
      </c>
      <c r="B317" s="57" t="s">
        <v>1209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772211840.39999998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7" s="18">
        <f>IF(Tabela3[[#This Row],[Lucro Líquido]]&gt;0,Tabela3[[#This Row],[Lucro Líquido]]/Tabela3[[#This Row],[Patrimônio Líquido]],0)/Tabela3[[#This Row],[Ref]]*4</f>
        <v>6.3377489986281557E-3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2.312588816579864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8.42</v>
      </c>
      <c r="AO317" s="53">
        <f>[Cotação]/[VPA]</f>
        <v>1.4485254986850546</v>
      </c>
      <c r="AP317" s="37">
        <f>IF(Tabela3[[#This Row],[Lucro/Ação]]&gt;0,Tabela3[[#This Row],[Cotação]]/(Tabela3[[#This Row],[Lucro/Ação]]/[Ref]*4),0)</f>
        <v>228.55520138121548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7.7935220429702177E-4</v>
      </c>
      <c r="AU317" s="22">
        <f>((1+Tabela3[[#This Row],[% Yield]])^(1/(3*Tabela3[[#This Row],[Ref]])))^(12)-1</f>
        <v>1.0392712245521629E-3</v>
      </c>
      <c r="AV317" s="10">
        <f>IF([Cotação]&gt;0,($BH$1/Tabela3[[#This Row],[Cotação]]-MOD($BH$1/Tabela3[[#This Row],[Cotação]],100)),)</f>
        <v>100</v>
      </c>
      <c r="AW317" s="7">
        <f>Tabela3[[#This Row],[Ativos]]*[Lucro]</f>
        <v>0.65621455601809231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8.42</v>
      </c>
    </row>
    <row r="318" spans="1:54" ht="11.25" customHeight="1">
      <c r="A318" s="3" t="s">
        <v>1145</v>
      </c>
      <c r="B318" s="57" t="s">
        <v>1142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1390881666.5599999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8" s="18">
        <f>IF(Tabela3[[#This Row],[Lucro Líquido]]&gt;0,Tabela3[[#This Row],[Lucro Líquido]]/Tabela3[[#This Row],[Patrimônio Líquido]],0)/Tabela3[[#This Row],[Ref]]*4</f>
        <v>0.2173691202256397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2.312588816579864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12.16</v>
      </c>
      <c r="AO318" s="53">
        <f>[Cotação]/[VPA]</f>
        <v>2.3708560465552333</v>
      </c>
      <c r="AP318" s="37">
        <f>IF(Tabela3[[#This Row],[Lucro/Ação]]&gt;0,Tabela3[[#This Row],[Cotação]]/(Tabela3[[#This Row],[Lucro/Ação]]/[Ref]*4),0)</f>
        <v>10.907050845557867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1.6331179025588321E-2</v>
      </c>
      <c r="AU318" s="22">
        <f>((1+Tabela3[[#This Row],[% Yield]])^(1/(3*Tabela3[[#This Row],[Ref]])))^(12)-1</f>
        <v>2.1833960037785483E-2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12.16</v>
      </c>
    </row>
    <row r="319" spans="1:54" ht="11.25" customHeight="1">
      <c r="A319" s="3" t="s">
        <v>1034</v>
      </c>
      <c r="B319" s="58" t="s">
        <v>1049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7270428453.75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9" s="18">
        <f>IF(Tabela3[[#This Row],[Lucro Líquido]]&gt;0,Tabela3[[#This Row],[Lucro Líquido]]/Tabela3[[#This Row],[Patrimônio Líquido]],0)/Tabela3[[#This Row],[Ref]]*4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2.312588816579864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57.75</v>
      </c>
      <c r="AO319" s="53">
        <f>[Cotação]/[VPA]</f>
        <v>4.8688524005978895</v>
      </c>
      <c r="AP319" s="37">
        <f>IF(Tabela3[[#This Row],[Lucro/Ação]]&gt;0,Tabela3[[#This Row],[Cotação]]/(Tabela3[[#This Row],[Lucro/Ação]]/[Ref]*4),0)</f>
        <v>17.845746369083269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1.3308493524902669E-2</v>
      </c>
      <c r="AU319" s="22">
        <f>((1+Tabela3[[#This Row],[% Yield]])^(1/(3*Tabela3[[#This Row],[Ref]])))^(12)-1</f>
        <v>1.3308493524902154E-2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57.75</v>
      </c>
      <c r="BB319" s="7">
        <f>SUMPRODUCT(N(Tabela17683[Código]=Tabela3[[#This Row],[PAPEL]]),Tabela17683[Fechamento])</f>
        <v>0</v>
      </c>
    </row>
    <row r="320" spans="1:54" ht="11.25" customHeight="1">
      <c r="A320" s="3" t="s">
        <v>1208</v>
      </c>
      <c r="B320" s="57" t="s">
        <v>1210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0" s="18">
        <f>IF(Tabela3[[#This Row],[Lucro Líquido]]&gt;0,Tabela3[[#This Row],[Lucro Líquido]]/Tabela3[[#This Row],[Patrimônio Líquido]],0)/Tabela3[[#This Row],[Ref]]*4</f>
        <v>8.330963134881357E-2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2.312588816579864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 ht="11.25" customHeight="1">
      <c r="A321" s="3" t="s">
        <v>1208</v>
      </c>
      <c r="B321" s="57" t="s">
        <v>1211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54232150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1" s="18">
        <f>IF(Tabela3[[#This Row],[Lucro Líquido]]&gt;0,Tabela3[[#This Row],[Lucro Líquido]]/Tabela3[[#This Row],[Patrimônio Líquido]],0)/Tabela3[[#This Row],[Ref]]*4</f>
        <v>8.330963134881357E-2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2.312588816579864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31.15</v>
      </c>
      <c r="AO321" s="53">
        <f>[Cotação]/[VPA]</f>
        <v>0.6169965982911817</v>
      </c>
      <c r="AP321" s="37">
        <f>IF(Tabela3[[#This Row],[Lucro/Ação]]&gt;0,Tabela3[[#This Row],[Cotação]]/(Tabela3[[#This Row],[Lucro/Ação]]/[Ref]*4),0)</f>
        <v>7.4060656409322636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2.563319699921375E-2</v>
      </c>
      <c r="AU321" s="22">
        <f>((1+Tabela3[[#This Row],[% Yield]])^(1/(3*Tabela3[[#This Row],[Ref]])))^(12)-1</f>
        <v>3.4322786539436878E-2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31.15</v>
      </c>
    </row>
    <row r="322" spans="1:54" ht="11.25" customHeight="1">
      <c r="A322" s="4" t="s">
        <v>315</v>
      </c>
      <c r="B322" s="57" t="s">
        <v>318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1605900637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2" s="19">
        <f>IF(Tabela3[[#This Row],[Lucro Líquido]]&gt;0,Tabela3[[#This Row],[Lucro Líquido]]/Tabela3[[#This Row],[Patrimônio Líquido]],0)/Tabela3[[#This Row],[Ref]]*4</f>
        <v>1.1506818528417893E-2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2.312588816579864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5.5</v>
      </c>
      <c r="AO322" s="44">
        <f>[Cotação]/[VPA]</f>
        <v>0.55241969879911801</v>
      </c>
      <c r="AP322" s="40">
        <f>IF(Tabela3[[#This Row],[Lucro/Ação]]&gt;0,Tabela3[[#This Row],[Cotação]]/(Tabela3[[#This Row],[Lucro/Ação]]/[Ref]*4),0)</f>
        <v>48.008030841438135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A.A.]&gt;=5%,SUMPRODUCT(N([Nome]=Tabela3[[#This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3.7103167298886876E-3</v>
      </c>
      <c r="AU322" s="19">
        <f>((1+Tabela3[[#This Row],[% Yield]])^(1/(3*Tabela3[[#This Row],[Ref]])))^(12)-1</f>
        <v>4.9501456658740395E-3</v>
      </c>
      <c r="AV322" s="14">
        <f>IF([Cotação]&gt;0,($BH$1/Tabela3[[#This Row],[Cotação]]-MOD($BH$1/Tabela3[[#This Row],[Cotação]],100)),)</f>
        <v>100</v>
      </c>
      <c r="AW322" s="17">
        <f>Tabela3[[#This Row],[Ativos]]*[Lucro]</f>
        <v>2.0406742014387782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5.5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t="11.25" customHeight="1">
      <c r="A323" s="4" t="s">
        <v>251</v>
      </c>
      <c r="B323" s="58" t="s">
        <v>838</v>
      </c>
      <c r="C323" s="16" t="str">
        <f>LEFT([PAPEL],LEN([PAPEL])-(LEN([PAPEL])-4))</f>
        <v>MDIA</v>
      </c>
      <c r="D323" s="16">
        <v>3</v>
      </c>
      <c r="E323" s="5">
        <v>725607830.69000006</v>
      </c>
      <c r="F323" s="56">
        <v>113450000</v>
      </c>
      <c r="G323" s="81">
        <v>0.25</v>
      </c>
      <c r="H323" s="87"/>
      <c r="J323" s="18"/>
      <c r="K323" s="16"/>
      <c r="L323" s="87"/>
      <c r="M323" s="54"/>
      <c r="N323" s="54"/>
      <c r="O323" s="54"/>
      <c r="P323" s="91">
        <v>2754410000</v>
      </c>
      <c r="Q323" s="73">
        <v>392611000</v>
      </c>
      <c r="R323" s="73">
        <f>IF(Tabela3[[#This Row],[Ativo || Passivo]]&gt;0,Tabela3[[#This Row],[Ativo || Passivo]]-Tabela3[[#This Row],[Patrimônio Líquido]],0)</f>
        <v>0</v>
      </c>
      <c r="S323" s="73">
        <f>Tabela3[[#This Row],[Cotação]]*Tabela3[[#This Row],[Total Ações]]</f>
        <v>0</v>
      </c>
      <c r="T323" s="37">
        <f>IF(Tabela3[[#This Row],[Passivo Circulante]]&gt;0,Tabela3[[#This Row],[Ativo Circulante]]/Tabela3[[#This Row],[Passivo Circulante]],0)</f>
        <v>0</v>
      </c>
      <c r="U32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3" s="18">
        <f>IF(Tabela3[[#This Row],[Lucro Líquido]]&gt;0,Tabela3[[#This Row],[Lucro Líquido]]/Tabela3[[#This Row],[Patrimônio Líquido]],0)/Tabela3[[#This Row],[Ref]]*4</f>
        <v>0.19005207406788871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3" s="18">
        <f>IF(Tabela3[[#This Row],[Dívida]]&gt;0,Tabela3[[#This Row],[Dívida]]/Tabela3[[#This Row],[Patrimônio Líquido]],0)</f>
        <v>0</v>
      </c>
      <c r="Y323" s="18">
        <f>SUMPRODUCT(N([Dívida / PL]&gt;0),N(RIGHT([PAPEL],LEN([PAPEL])-(LEN([PAPEL])-1))="3"),[Dívida / PL])/SUMPRODUCT(N([Dívida / PL]&gt;0),N(RIGHT([PAPEL],LEN([PAPEL])-(LEN([PAPEL])-1))="3"))</f>
        <v>2.312588816579864</v>
      </c>
      <c r="Z323" s="7">
        <f>Tabela3[[#This Row],[Capital Social]]*20%</f>
        <v>145121566.13800001</v>
      </c>
      <c r="AA323" s="47">
        <f>IF(([Lucro Líquido]*5%)&gt;[Teto R. Legal],[Teto R. Legal],[Lucro Líquido]*5%)</f>
        <v>19630550</v>
      </c>
      <c r="AB323" s="47">
        <f>IF([Lucro Líquido]&lt;0,0,[Lucro Líquido]-[Reserva Legal])</f>
        <v>372980450</v>
      </c>
      <c r="AC323" s="47">
        <f>Tabela3[[#This Row],[Lucro Distribuir]]*[%Div]</f>
        <v>93245112.5</v>
      </c>
      <c r="AD323" s="56">
        <f>SUMPRODUCT(N([Nome]=Tabela3[[#This Row],[Nome]]),[Ações])</f>
        <v>113450000</v>
      </c>
      <c r="AE323" s="85">
        <f>[Capital Social]/[Total Ações]</f>
        <v>6.3958380845306309</v>
      </c>
      <c r="AF323" s="85">
        <f>Tabela3[[#This Row],[Lucro Líquido]]/Tabela3[[#This Row],[Total Ações]]</f>
        <v>3.4606522697223445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0.82190491405905686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0.82190491405905686</v>
      </c>
      <c r="AK323" s="7">
        <f>[Div Base]*[Ações]</f>
        <v>93245112.5</v>
      </c>
      <c r="AL323" s="7">
        <f>SUMPRODUCT(N([Nome]=Tabela3[[#This Row],[Nome]]),[Div Base]*[Ações])</f>
        <v>93245112.5</v>
      </c>
      <c r="AM323" s="5">
        <f>[Patrimônio Líquido]/[Total Ações]</f>
        <v>24.278624944909652</v>
      </c>
      <c r="AN323" s="52">
        <f>MAX(Tabela3[[#This Row],[Cotação 1]:[Cotação 5]])</f>
        <v>0</v>
      </c>
      <c r="AO323" s="53">
        <f>[Cotação]/[VPA]</f>
        <v>0</v>
      </c>
      <c r="AP323" s="37">
        <f>IF(Tabela3[[#This Row],[Lucro/Ação]]&gt;0,Tabela3[[#This Row],[Cotação]]/(Tabela3[[#This Row],[Lucro/Ação]]/[Ref]*4),0)</f>
        <v>0</v>
      </c>
      <c r="AQ323" s="85">
        <f>[Lucro Distribuir]/[Total Ações]</f>
        <v>3.2876196562362274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0.82190491405905686</v>
      </c>
      <c r="AS323" s="10" t="str">
        <f>IF(AND([% A.A.]&gt;=5%,SUMPRODUCT(N([Nome]=Tabela3[[#This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0</v>
      </c>
      <c r="AU323" s="22">
        <f>((1+Tabela3[[#This Row],[% Yield]])^(1/(3*Tabela3[[#This Row],[Ref]])))^(12)-1</f>
        <v>0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t="11.25" customHeight="1">
      <c r="A324" s="3" t="s">
        <v>1126</v>
      </c>
      <c r="B324" s="57" t="s">
        <v>1111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4" s="18">
        <f>IF(Tabela3[[#This Row],[Lucro Líquido]]&gt;0,Tabela3[[#This Row],[Lucro Líquido]]/Tabela3[[#This Row],[Patrimônio Líquido]],0)/Tabela3[[#This Row],[Ref]]*4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2.312588816579864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 ht="11.25" customHeight="1">
      <c r="A325" s="3" t="s">
        <v>1126</v>
      </c>
      <c r="B325" s="57" t="s">
        <v>1112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106186696.40000001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5" s="18">
        <f>IF(Tabela3[[#This Row],[Lucro Líquido]]&gt;0,Tabela3[[#This Row],[Lucro Líquido]]/Tabela3[[#This Row],[Patrimônio Líquido]],0)/Tabela3[[#This Row],[Ref]]*4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2.312588816579864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10.3</v>
      </c>
      <c r="AO325" s="53">
        <f>[Cotação]/[VPA]</f>
        <v>2.9962191667492002E-2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10.3</v>
      </c>
    </row>
    <row r="326" spans="1:54" ht="11.25" customHeight="1">
      <c r="A326" s="3" t="s">
        <v>1126</v>
      </c>
      <c r="B326" s="57" t="s">
        <v>1113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6" s="18">
        <f>IF(Tabela3[[#This Row],[Lucro Líquido]]&gt;0,Tabela3[[#This Row],[Lucro Líquido]]/Tabela3[[#This Row],[Patrimônio Líquido]],0)/Tabela3[[#This Row],[Ref]]*4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2.312588816579864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 ht="11.25" customHeight="1">
      <c r="A327" s="4" t="s">
        <v>355</v>
      </c>
      <c r="B327" s="57" t="s">
        <v>353</v>
      </c>
      <c r="C327" s="14" t="str">
        <f>LEFT([PAPEL],LEN([PAPEL])-(LEN([PAPEL])-4))</f>
        <v>MERC</v>
      </c>
      <c r="D327" s="15">
        <v>4</v>
      </c>
      <c r="E327" s="6">
        <v>82320000</v>
      </c>
      <c r="F327" s="8">
        <v>6646956</v>
      </c>
      <c r="G327" s="86">
        <v>0.25</v>
      </c>
      <c r="H327" s="15"/>
      <c r="I327" s="19"/>
      <c r="J327" s="19"/>
      <c r="K327" s="88"/>
      <c r="L327" s="88"/>
      <c r="M327" s="55">
        <v>1337948000</v>
      </c>
      <c r="N327" s="55">
        <v>513358000</v>
      </c>
      <c r="O327" s="55">
        <v>1118820000</v>
      </c>
      <c r="P327" s="5">
        <v>162452000</v>
      </c>
      <c r="Q327" s="5">
        <v>20514000</v>
      </c>
      <c r="R327" s="5">
        <f>IF(Tabela3[[#This Row],[Ativo || Passivo]]&gt;0,Tabela3[[#This Row],[Ativo || Passivo]]-Tabela3[[#This Row],[Patrimônio Líquido]],0)</f>
        <v>1175496000</v>
      </c>
      <c r="S327" s="5">
        <f>Tabela3[[#This Row],[Cotação]]*Tabela3[[#This Row],[Total Ações]]</f>
        <v>986781516.08999991</v>
      </c>
      <c r="T327" s="130">
        <f>IF(Tabela3[[#This Row],[Passivo Circulante]]&gt;0,Tabela3[[#This Row],[Ativo Circulante]]/Tabela3[[#This Row],[Passivo Circulante]],0)</f>
        <v>0.45883877656817001</v>
      </c>
      <c r="U32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7" s="18">
        <f>IF(Tabela3[[#This Row],[Lucro Líquido]]&gt;0,Tabela3[[#This Row],[Lucro Líquido]]/Tabela3[[#This Row],[Patrimônio Líquido]],0)/Tabela3[[#This Row],[Ref]]*4</f>
        <v>0.12627730037180213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7" s="18">
        <f>IF(Tabela3[[#This Row],[Dívida]]&gt;0,Tabela3[[#This Row],[Dívida]]/Tabela3[[#This Row],[Patrimônio Líquido]],0)</f>
        <v>7.2359589294068405</v>
      </c>
      <c r="Y327" s="18">
        <f>SUMPRODUCT(N([Dívida / PL]&gt;0),N(RIGHT([PAPEL],LEN([PAPEL])-(LEN([PAPEL])-1))="3"),[Dívida / PL])/SUMPRODUCT(N([Dívida / PL]&gt;0),N(RIGHT([PAPEL],LEN([PAPEL])-(LEN([PAPEL])-1))="3"))</f>
        <v>2.312588816579864</v>
      </c>
      <c r="Z327" s="6">
        <f>Tabela3[[#This Row],[Capital Social]]*20%</f>
        <v>16464000</v>
      </c>
      <c r="AA327" s="6">
        <f>IF(([Lucro Líquido]*5%)&gt;[Teto R. Legal],[Teto R. Legal],[Lucro Líquido]*5%)</f>
        <v>1025700</v>
      </c>
      <c r="AB327" s="6">
        <f>IF([Lucro Líquido]&lt;0,0,[Lucro Líquido]-[Reserva Legal])</f>
        <v>19488300</v>
      </c>
      <c r="AC327" s="6">
        <f>Tabela3[[#This Row],[Lucro Distribuir]]*[%Div]</f>
        <v>4872075</v>
      </c>
      <c r="AD327" s="56">
        <f>SUMPRODUCT(N([Nome]=Tabela3[[#This Row],[Nome]]),[Ações])</f>
        <v>11759999</v>
      </c>
      <c r="AE327" s="6">
        <f>[Capital Social]/[Total Ações]</f>
        <v>7.0000005952381459</v>
      </c>
      <c r="AF327" s="78">
        <f>Tabela3[[#This Row],[Lucro Líquido]]/Tabela3[[#This Row],[Total Ações]]</f>
        <v>1.7443879034343455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7" s="6">
        <f>[Div Base]*[Ações]</f>
        <v>2668100.9245204693</v>
      </c>
      <c r="AL327" s="6">
        <f>SUMPRODUCT(N([Nome]=Tabela3[[#This Row],[Nome]]),[Div Base]*[Ações])</f>
        <v>4925724.7528580269</v>
      </c>
      <c r="AM327" s="6">
        <f>[Patrimônio Líquido]/[Total Ações]</f>
        <v>13.813946752886629</v>
      </c>
      <c r="AN327" s="48">
        <f>MAX(Tabela3[[#This Row],[Cotação 1]:[Cotação 5]])</f>
        <v>83.91</v>
      </c>
      <c r="AO327" s="44">
        <f>[Cotação]/[VPA]</f>
        <v>6.0742958910324276</v>
      </c>
      <c r="AP327" s="40">
        <f>IF(Tabela3[[#This Row],[Lucro/Ação]]&gt;0,Tabela3[[#This Row],[Cotação]]/(Tabela3[[#This Row],[Lucro/Ação]]/[Ref]*4),0)</f>
        <v>48.1028329964902</v>
      </c>
      <c r="AQ327" s="78">
        <f>[Lucro Distribuir]/[Total Ações]</f>
        <v>1.6571685082626282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7" s="15" t="str">
        <f>IF(AND([% A.A.]&gt;=5%,SUMPRODUCT(N([Nome]=Tabela3[[#This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4.7837197426457171E-3</v>
      </c>
      <c r="AU327" s="19">
        <f>((1+Tabela3[[#This Row],[% Yield]])^(1/(3*Tabela3[[#This Row],[Ref]])))^(12)-1</f>
        <v>4.783719742647019E-3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>
      <c r="A328" s="4" t="s">
        <v>355</v>
      </c>
      <c r="B328" s="57" t="s">
        <v>354</v>
      </c>
      <c r="C328" s="82" t="str">
        <f>LEFT([PAPEL],LEN([PAPEL])-(LEN([PAPEL])-4))</f>
        <v>MERC</v>
      </c>
      <c r="D328" s="15">
        <v>4</v>
      </c>
      <c r="E328" s="6">
        <v>82320000</v>
      </c>
      <c r="F328" s="8">
        <v>5113043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99959991.5</v>
      </c>
      <c r="T328" s="130">
        <f>IF(Tabela3[[#This Row],[Passivo Circulante]]&gt;0,Tabela3[[#This Row],[Ativo Circulante]]/Tabela3[[#This Row],[Passivo Circulante]],0)</f>
        <v>0.45883877656817001</v>
      </c>
      <c r="U32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8" s="18">
        <f>IF(Tabela3[[#This Row],[Lucro Líquido]]&gt;0,Tabela3[[#This Row],[Lucro Líquido]]/Tabela3[[#This Row],[Patrimônio Líquido]],0)/Tabela3[[#This Row],[Ref]]*4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2.312588816579864</v>
      </c>
      <c r="Z328" s="5">
        <f>Tabela3[[#This Row],[Capital Social]]*20%</f>
        <v>16464000</v>
      </c>
      <c r="AA328" s="5">
        <f>IF(([Lucro Líquido]*5%)&gt;[Teto R. Legal],[Teto R. Legal],[Lucro Líquido]*5%)</f>
        <v>1025700</v>
      </c>
      <c r="AB328" s="5">
        <f>IF([Lucro Líquido]&lt;0,0,[Lucro Líquido]-[Reserva Legal])</f>
        <v>19488300</v>
      </c>
      <c r="AC328" s="5">
        <f>Tabela3[[#This Row],[Lucro Distribuir]]*[%Div]</f>
        <v>4872075</v>
      </c>
      <c r="AD328" s="56">
        <f>SUMPRODUCT(N([Nome]=Tabela3[[#This Row],[Nome]]),[Ações])</f>
        <v>11759999</v>
      </c>
      <c r="AE328" s="5">
        <f>[Capital Social]/[Total Ações]</f>
        <v>7.0000005952381459</v>
      </c>
      <c r="AF328" s="78">
        <f>Tabela3[[#This Row],[Lucro Líquido]]/Tabela3[[#This Row],[Total Ações]]</f>
        <v>1.7443879034343455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8" s="5">
        <f>[Div Base]*[Ações]</f>
        <v>2257623.8283375576</v>
      </c>
      <c r="AL328" s="5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8.5</v>
      </c>
      <c r="AO328" s="44">
        <f>[Cotação]/[VPA]</f>
        <v>0.61532016534114686</v>
      </c>
      <c r="AP328" s="40">
        <f>IF(Tabela3[[#This Row],[Lucro/Ação]]&gt;0,Tabela3[[#This Row],[Cotação]]/(Tabela3[[#This Row],[Lucro/Ação]]/[Ref]*4),0)</f>
        <v>4.8727694013844207</v>
      </c>
      <c r="AQ328" s="78">
        <f>[Lucro Distribuir]/[Total Ações]</f>
        <v>1.6571685082626282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5.1946131361271623E-2</v>
      </c>
      <c r="AU328" s="19">
        <f>((1+Tabela3[[#This Row],[% Yield]])^(1/(3*Tabela3[[#This Row],[Ref]])))^(12)-1</f>
        <v>5.194613136127102E-2</v>
      </c>
      <c r="AV328" s="14">
        <f>IF([Cotação]&gt;0,($BH$1/Tabela3[[#This Row],[Cotação]]-MOD($BH$1/Tabela3[[#This Row],[Cotação]],100)),)</f>
        <v>100</v>
      </c>
      <c r="AW328" s="17">
        <f>Tabela3[[#This Row],[Ativos]]*[Lucro]</f>
        <v>44.154211657080879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t="11.25" customHeight="1">
      <c r="A329" s="4" t="s">
        <v>326</v>
      </c>
      <c r="B329" s="126" t="s">
        <v>609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9" s="19">
        <f>IF(Tabela3[[#This Row],[Lucro Líquido]]&gt;0,Tabela3[[#This Row],[Lucro Líquido]]/Tabela3[[#This Row],[Patrimônio Líquido]],0)/Tabela3[[#This Row],[Ref]]*4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2.312588816579864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t="11.25" customHeight="1">
      <c r="A330" s="4" t="s">
        <v>326</v>
      </c>
      <c r="B330" s="126" t="s">
        <v>610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10409782.799999999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0" s="19">
        <f>IF(Tabela3[[#This Row],[Lucro Líquido]]&gt;0,Tabela3[[#This Row],[Lucro Líquido]]/Tabela3[[#This Row],[Patrimônio Líquido]],0)/Tabela3[[#This Row],[Ref]]*4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2.312588816579864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0.6</v>
      </c>
      <c r="AO330" s="44">
        <f>[Cotação]/[VPA]</f>
        <v>-0.16043435000385298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1500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0.6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t="11.25" customHeight="1">
      <c r="A331" s="3" t="s">
        <v>868</v>
      </c>
      <c r="B331" s="58" t="s">
        <v>877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1305461269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1" s="18">
        <f>IF(Tabela3[[#This Row],[Lucro Líquido]]&gt;0,Tabela3[[#This Row],[Lucro Líquido]]/Tabela3[[#This Row],[Patrimônio Líquido]],0)/Tabela3[[#This Row],[Ref]]*4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2.312588816579864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7</v>
      </c>
      <c r="AO331" s="53">
        <f>[Cotação]/[VPA]</f>
        <v>1.8794134688336348</v>
      </c>
      <c r="AP331" s="37">
        <f>IF(Tabela3[[#This Row],[Lucro/Ação]]&gt;0,Tabela3[[#This Row],[Cotação]]/(Tabela3[[#This Row],[Lucro/Ação]]/[Ref]*4),0)</f>
        <v>11.470935354902201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A.A.]&gt;=5%,SUMPRODUCT(N([Nome]=Tabela3[[#This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1.242270099090929E-2</v>
      </c>
      <c r="AU331" s="22">
        <f>((1+Tabela3[[#This Row],[% Yield]])^(1/(3*Tabela3[[#This Row],[Ref]])))^(12)-1</f>
        <v>1.2422700990909918E-2</v>
      </c>
      <c r="AV331" s="10">
        <f>IF([Cotação]&gt;0,($BH$1/Tabela3[[#This Row],[Cotação]]-MOD($BH$1/Tabela3[[#This Row],[Cotação]],100)),)</f>
        <v>100</v>
      </c>
      <c r="AW331" s="7">
        <f>Tabela3[[#This Row],[Ativos]]*[Lucro]</f>
        <v>8.6958906936365032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7</v>
      </c>
      <c r="BB331" s="7">
        <f>SUMPRODUCT(N(Tabela17683[Código]=Tabela3[[#This Row],[PAPEL]]),Tabela17683[Fechamento])</f>
        <v>0</v>
      </c>
    </row>
    <row r="332" spans="1:54" ht="11.25" customHeight="1">
      <c r="A332" s="3" t="s">
        <v>1173</v>
      </c>
      <c r="B332" s="57" t="s">
        <v>1163</v>
      </c>
      <c r="C332" s="16" t="str">
        <f>LEFT([PAPEL],LEN([PAPEL])-(LEN([PAPEL])-4))</f>
        <v>MILS</v>
      </c>
      <c r="D332" s="16">
        <v>3</v>
      </c>
      <c r="E332" s="5">
        <v>527989915.31</v>
      </c>
      <c r="F332" s="56">
        <v>127490508</v>
      </c>
      <c r="G332" s="81">
        <v>0.25</v>
      </c>
      <c r="H332" s="18"/>
      <c r="J332" s="18"/>
      <c r="K332" s="16"/>
      <c r="L332" s="87"/>
      <c r="M332" s="54"/>
      <c r="N332" s="54"/>
      <c r="O332" s="54"/>
      <c r="P332" s="91">
        <v>984909000</v>
      </c>
      <c r="Q332" s="73">
        <v>126979000</v>
      </c>
      <c r="R332" s="73">
        <f>IF(Tabela3[[#This Row],[Ativo || Passivo]]&gt;0,Tabela3[[#This Row],[Ativo || Passivo]]-Tabela3[[#This Row],[Patrimônio Líquido]],0)</f>
        <v>0</v>
      </c>
      <c r="S332" s="73">
        <f>Tabela3[[#This Row],[Cotação]]*Tabela3[[#This Row],[Total Ações]]</f>
        <v>3220410232.0800004</v>
      </c>
      <c r="T332" s="37">
        <f>IF(Tabela3[[#This Row],[Passivo Circulante]]&gt;0,Tabela3[[#This Row],[Ativo Circulante]]/Tabela3[[#This Row],[Passivo Circulante]],0)</f>
        <v>0</v>
      </c>
      <c r="U33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2" s="18">
        <f>IF(Tabela3[[#This Row],[Lucro Líquido]]&gt;0,Tabela3[[#This Row],[Lucro Líquido]]/Tabela3[[#This Row],[Patrimônio Líquido]],0)/Tabela3[[#This Row],[Ref]]*4</f>
        <v>0.17189946820806121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2" s="18">
        <f>IF(Tabela3[[#This Row],[Dívida]]&gt;0,Tabela3[[#This Row],[Dívida]]/Tabela3[[#This Row],[Patrimônio Líquido]],0)</f>
        <v>0</v>
      </c>
      <c r="Y332" s="18">
        <f>SUMPRODUCT(N([Dívida / PL]&gt;0),N(RIGHT([PAPEL],LEN([PAPEL])-(LEN([PAPEL])-1))="3"),[Dívida / PL])/SUMPRODUCT(N([Dívida / PL]&gt;0),N(RIGHT([PAPEL],LEN([PAPEL])-(LEN([PAPEL])-1))="3"))</f>
        <v>2.312588816579864</v>
      </c>
      <c r="Z332" s="7">
        <f>Tabela3[[#This Row],[Capital Social]]*20%</f>
        <v>105597983.06200001</v>
      </c>
      <c r="AA332" s="47">
        <f>IF(([Lucro Líquido]*5%)&gt;[Teto R. Legal],[Teto R. Legal],[Lucro Líquido]*5%)</f>
        <v>6348950</v>
      </c>
      <c r="AB332" s="47">
        <f>IF([Lucro Líquido]&lt;0,0,[Lucro Líquido]-[Reserva Legal])</f>
        <v>120630050</v>
      </c>
      <c r="AC332" s="47">
        <f>Tabela3[[#This Row],[Lucro Distribuir]]*[%Div]</f>
        <v>30157512.5</v>
      </c>
      <c r="AD332" s="56">
        <f>SUMPRODUCT(N([Nome]=Tabela3[[#This Row],[Nome]]),[Ações])</f>
        <v>127490508</v>
      </c>
      <c r="AE332" s="85">
        <f>[Capital Social]/[Total Ações]</f>
        <v>4.1414056904534418</v>
      </c>
      <c r="AF332" s="85">
        <f>Tabela3[[#This Row],[Lucro Líquido]]/Tabela3[[#This Row],[Total Ações]]</f>
        <v>0.99598787385802867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0.23654712004128181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0.23654712004128181</v>
      </c>
      <c r="AK332" s="7">
        <f>[Div Base]*[Ações]</f>
        <v>30157512.5</v>
      </c>
      <c r="AL332" s="120">
        <f>SUMPRODUCT(N([Nome]=Tabela3[[#This Row],[Nome]]),[Div Base]*[Ações])</f>
        <v>30157512.5</v>
      </c>
      <c r="AM332" s="5">
        <f>[Patrimônio Líquido]/[Total Ações]</f>
        <v>7.725351600293255</v>
      </c>
      <c r="AN332" s="52">
        <f>MAX(Tabela3[[#This Row],[Cotação 1]:[Cotação 5]])</f>
        <v>25.26</v>
      </c>
      <c r="AO332" s="53">
        <f>[Cotação]/[VPA]</f>
        <v>3.2697540910683118</v>
      </c>
      <c r="AP332" s="37">
        <f>IF(Tabela3[[#This Row],[Lucro/Ação]]&gt;0,Tabela3[[#This Row],[Cotação]]/(Tabela3[[#This Row],[Lucro/Ação]]/[Ref]*4),0)</f>
        <v>19.021315918852725</v>
      </c>
      <c r="AQ332" s="85">
        <f>[Lucro Distribuir]/[Total Ações]</f>
        <v>0.94618848016512724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0.23654712004128181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9.3644940633919958E-3</v>
      </c>
      <c r="AU332" s="22">
        <f>((1+Tabela3[[#This Row],[% Yield]])^(1/(3*Tabela3[[#This Row],[Ref]])))^(12)-1</f>
        <v>1.2505439188301271E-2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25.26</v>
      </c>
    </row>
    <row r="333" spans="1:54" ht="11.25" customHeight="1">
      <c r="A333" s="4" t="s">
        <v>284</v>
      </c>
      <c r="B333" s="57" t="s">
        <v>520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3" s="19">
        <f>IF(Tabela3[[#This Row],[Lucro Líquido]]&gt;0,Tabela3[[#This Row],[Lucro Líquido]]/Tabela3[[#This Row],[Patrimônio Líquido]],0)/Tabela3[[#This Row],[Ref]]*4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2.312588816579864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A.A.]&gt;=5%,SUMPRODUCT(N([Nome]=Tabela3[[#This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400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t="11.25" customHeight="1">
      <c r="A334" s="4" t="s">
        <v>284</v>
      </c>
      <c r="B334" s="57" t="s">
        <v>521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1484465676.54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4" s="19">
        <f>IF(Tabela3[[#This Row],[Lucro Líquido]]&gt;0,Tabela3[[#This Row],[Lucro Líquido]]/Tabela3[[#This Row],[Patrimônio Líquido]],0)/Tabela3[[#This Row],[Ref]]*4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2.312588816579864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1.54</v>
      </c>
      <c r="AO334" s="44">
        <f>[Cotação]/[VPA]</f>
        <v>0.86382833861224473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500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1.54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t="11.25" customHeight="1">
      <c r="A335" s="4" t="s">
        <v>320</v>
      </c>
      <c r="B335" s="57" t="s">
        <v>653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2832091847.4900002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5" s="19">
        <f>IF(Tabela3[[#This Row],[Lucro Líquido]]&gt;0,Tabela3[[#This Row],[Lucro Líquido]]/Tabela3[[#This Row],[Patrimônio Líquido]],0)/Tabela3[[#This Row],[Ref]]*4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2.312588816579864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2.91</v>
      </c>
      <c r="AO335" s="44">
        <f>[Cotação]/[VPA]</f>
        <v>1.6171489010596207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300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2.91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t="11.25" customHeight="1">
      <c r="A336" s="3" t="s">
        <v>1001</v>
      </c>
      <c r="B336" s="58" t="s">
        <v>1002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24405758.399999999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6" s="18">
        <f>IF(Tabela3[[#This Row],[Lucro Líquido]]&gt;0,Tabela3[[#This Row],[Lucro Líquido]]/Tabela3[[#This Row],[Patrimônio Líquido]],0)/Tabela3[[#This Row],[Ref]]*4</f>
        <v>9.0427245307329651E-2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2.312588816579864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9.84</v>
      </c>
      <c r="AO336" s="53">
        <f>[Cotação]/[VPA]</f>
        <v>0.71468442414126332</v>
      </c>
      <c r="AP336" s="37">
        <f>IF(Tabela3[[#This Row],[Lucro/Ação]]&gt;0,Tabela3[[#This Row],[Cotação]]/(Tabela3[[#This Row],[Lucro/Ação]]/[Ref]*4),0)</f>
        <v>7.9034191709844563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2.2537713886408055E-2</v>
      </c>
      <c r="AU336" s="22">
        <f>((1+Tabela3[[#This Row],[% Yield]])^(1/(3*Tabela3[[#This Row],[Ref]])))^(12)-1</f>
        <v>3.0162602549467232E-2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9.84</v>
      </c>
      <c r="BB336" s="7">
        <f>SUMPRODUCT(N(Tabela17683[Código]=Tabela3[[#This Row],[PAPEL]]),Tabela17683[Fechamento])</f>
        <v>0</v>
      </c>
    </row>
    <row r="337" spans="1:54" ht="11.25" customHeight="1">
      <c r="A337" s="3" t="s">
        <v>270</v>
      </c>
      <c r="B337" s="58" t="s">
        <v>816</v>
      </c>
      <c r="C337" s="16" t="str">
        <f>LEFT([PAPEL],LEN([PAPEL])-(LEN([PAPEL])-4))</f>
        <v>MNPR</v>
      </c>
      <c r="D337" s="16">
        <v>4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>
        <v>28327000</v>
      </c>
      <c r="N337" s="54">
        <v>16193000</v>
      </c>
      <c r="O337" s="54">
        <v>1456000</v>
      </c>
      <c r="P337" s="91">
        <v>-248916000</v>
      </c>
      <c r="Q337" s="73">
        <v>-56935000</v>
      </c>
      <c r="R337" s="73">
        <f>IF(Tabela3[[#This Row],[Ativo || Passivo]]&gt;0,Tabela3[[#This Row],[Ativo || Passivo]]-Tabela3[[#This Row],[Patrimônio Líquido]],0)</f>
        <v>277243000</v>
      </c>
      <c r="S337" s="73">
        <f>Tabela3[[#This Row],[Cotação]]*Tabela3[[#This Row],[Total Ações]]</f>
        <v>49700700.000000007</v>
      </c>
      <c r="T337" s="37">
        <f>IF(Tabela3[[#This Row],[Passivo Circulante]]&gt;0,Tabela3[[#This Row],[Ativo Circulante]]/Tabela3[[#This Row],[Passivo Circulante]],0)</f>
        <v>11.121565934065934</v>
      </c>
      <c r="U33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7" s="18">
        <f>IF(Tabela3[[#This Row],[Lucro Líquido]]&gt;0,Tabela3[[#This Row],[Lucro Líquido]]/Tabela3[[#This Row],[Patrimônio Líquido]],0)/Tabela3[[#This Row],[Ref]]*4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7" s="18">
        <f>IF(Tabela3[[#This Row],[Dívida]]&gt;0,Tabela3[[#This Row],[Dívida]]/Tabela3[[#This Row],[Patrimônio Líquido]],0)</f>
        <v>-1.1138014430570955</v>
      </c>
      <c r="Y337" s="18">
        <f>SUMPRODUCT(N([Dívida / PL]&gt;0),N(RIGHT([PAPEL],LEN([PAPEL])-(LEN([PAPEL])-1))="3"),[Dívida / PL])/SUMPRODUCT(N([Dívida / PL]&gt;0),N(RIGHT([PAPEL],LEN([PAPEL])-(LEN([PAPEL])-1))="3"))</f>
        <v>2.312588816579864</v>
      </c>
      <c r="Z337" s="7">
        <f>Tabela3[[#This Row],[Capital Social]]*20%</f>
        <v>24021560</v>
      </c>
      <c r="AA337" s="47">
        <f>IF(([Lucro Líquido]*5%)&gt;[Teto R. Legal],[Teto R. Legal],[Lucro Líquido]*5%)</f>
        <v>-2846750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-8.0189011422374334E-2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-0.35058097773270797</v>
      </c>
      <c r="AN337" s="52">
        <f>MAX(Tabela3[[#This Row],[Cotação 1]:[Cotação 5]])</f>
        <v>7.0000000000000007E-2</v>
      </c>
      <c r="AO337" s="53">
        <f>[Cotação]/[VPA]</f>
        <v>-0.19966856288868537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12800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7.0000000000000007E-2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t="11.25" customHeight="1">
      <c r="A338" s="3" t="s">
        <v>289</v>
      </c>
      <c r="B338" s="58" t="s">
        <v>295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8" s="18">
        <f>IF(Tabela3[[#This Row],[Lucro Líquido]]&gt;0,Tabela3[[#This Row],[Lucro Líquido]]/Tabela3[[#This Row],[Patrimônio Líquido]],0)/Tabela3[[#This Row],[Ref]]*4</f>
        <v>0.1017490866443355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2.312588816579864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t="11.25" customHeight="1">
      <c r="A339" s="3" t="s">
        <v>270</v>
      </c>
      <c r="B339" s="58" t="s">
        <v>822</v>
      </c>
      <c r="C339" s="16" t="str">
        <f>LEFT([PAPEL],LEN([PAPEL])-(LEN([PAPEL])-4))</f>
        <v>MRFG</v>
      </c>
      <c r="D339" s="16">
        <v>3</v>
      </c>
      <c r="E339" s="5">
        <v>5276678051</v>
      </c>
      <c r="F339" s="56">
        <v>520747405</v>
      </c>
      <c r="G339" s="81">
        <v>0.25</v>
      </c>
      <c r="H339" s="87"/>
      <c r="J339" s="18"/>
      <c r="K339" s="16"/>
      <c r="L339" s="87"/>
      <c r="M339" s="54"/>
      <c r="N339" s="54"/>
      <c r="O339" s="54"/>
      <c r="P339" s="91">
        <v>3143650000</v>
      </c>
      <c r="Q339" s="73">
        <v>-830207000</v>
      </c>
      <c r="R339" s="73">
        <f>IF(Tabela3[[#This Row],[Ativo || Passivo]]&gt;0,Tabela3[[#This Row],[Ativo || Passivo]]-Tabela3[[#This Row],[Patrimônio Líquido]],0)</f>
        <v>0</v>
      </c>
      <c r="S339" s="73">
        <f>Tabela3[[#This Row],[Cotação]]*Tabela3[[#This Row],[Total Ações]]</f>
        <v>2077782145.95</v>
      </c>
      <c r="T339" s="37">
        <f>IF(Tabela3[[#This Row],[Passivo Circulante]]&gt;0,Tabela3[[#This Row],[Ativo Circulante]]/Tabela3[[#This Row],[Passivo Circulante]],0)</f>
        <v>0</v>
      </c>
      <c r="U33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9" s="18">
        <f>IF(Tabela3[[#This Row],[Lucro Líquido]]&gt;0,Tabela3[[#This Row],[Lucro Líquido]]/Tabela3[[#This Row],[Patrimônio Líquido]],0)/Tabela3[[#This Row],[Ref]]*4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2.312588816579864</v>
      </c>
      <c r="Z339" s="7">
        <f>Tabela3[[#This Row],[Capital Social]]*20%</f>
        <v>1055335610.2</v>
      </c>
      <c r="AA339" s="47">
        <f>IF(([Lucro Líquido]*5%)&gt;[Teto R. Legal],[Teto R. Legal],[Lucro Líquido]*5%)</f>
        <v>-41510350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10.132893607026231</v>
      </c>
      <c r="AF339" s="85">
        <f>Tabela3[[#This Row],[Lucro Líquido]]/Tabela3[[#This Row],[Total Ações]]</f>
        <v>-1.5942604649177272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6.0368039664067075</v>
      </c>
      <c r="AN339" s="52">
        <f>MAX(Tabela3[[#This Row],[Cotação 1]:[Cotação 5]])</f>
        <v>3.99</v>
      </c>
      <c r="AO339" s="53">
        <f>[Cotação]/[VPA]</f>
        <v>0.66094576239403247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200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3.99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t="11.25" customHeight="1">
      <c r="A340" s="3" t="s">
        <v>1060</v>
      </c>
      <c r="B340" s="57" t="s">
        <v>1086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4003887067.7700005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0" s="18">
        <f>IF(Tabela3[[#This Row],[Lucro Líquido]]&gt;0,Tabela3[[#This Row],[Lucro Líquido]]/Tabela3[[#This Row],[Patrimônio Líquido]],0)/Tabela3[[#This Row],[Ref]]*4</f>
        <v>0.11324428971513435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2.312588816579864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8.39</v>
      </c>
      <c r="AO340" s="53">
        <f>[Cotação]/[VPA]</f>
        <v>0.96961396646019415</v>
      </c>
      <c r="AP340" s="37">
        <f>IF(Tabela3[[#This Row],[Lucro/Ação]]&gt;0,Tabela3[[#This Row],[Cotação]]/(Tabela3[[#This Row],[Lucro/Ação]]/[Ref]*4),0)</f>
        <v>8.5621444480711109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2.0803783570846925E-2</v>
      </c>
      <c r="AU340" s="22">
        <f>((1+Tabela3[[#This Row],[% Yield]])^(1/(3*Tabela3[[#This Row],[Ref]])))^(12)-1</f>
        <v>2.7834114475570715E-2</v>
      </c>
      <c r="AV340" s="10">
        <f>IF([Cotação]&gt;0,($BH$1/Tabela3[[#This Row],[Cotação]]-MOD($BH$1/Tabela3[[#This Row],[Cotação]],100)),)</f>
        <v>100</v>
      </c>
      <c r="AW340" s="7">
        <f>Tabela3[[#This Row],[Ativos]]*[Lucro]</f>
        <v>17.45437441594057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8.39</v>
      </c>
      <c r="BB340" s="7">
        <f>SUMPRODUCT(N(Tabela17683[Código]=Tabela3[[#This Row],[PAPEL]]),Tabela17683[Fechamento])</f>
        <v>0</v>
      </c>
    </row>
    <row r="341" spans="1:54" ht="11.25" customHeight="1">
      <c r="A341" s="4" t="s">
        <v>19</v>
      </c>
      <c r="B341" s="57" t="s">
        <v>665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1" s="19">
        <f>IF(Tabela3[[#This Row],[Lucro Líquido]]&gt;0,Tabela3[[#This Row],[Lucro Líquido]]/Tabela3[[#This Row],[Patrimônio Líquido]],0)/Tabela3[[#This Row],[Ref]]*4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2.312588816579864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A.A.]&gt;=5%,SUMPRODUCT(N([Nome]=Tabela3[[#This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 ht="11.25" customHeight="1">
      <c r="A342" s="4" t="s">
        <v>19</v>
      </c>
      <c r="B342" s="57" t="s">
        <v>666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172933623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2" s="19">
        <f>IF(Tabela3[[#This Row],[Lucro Líquido]]&gt;0,Tabela3[[#This Row],[Lucro Líquido]]/Tabela3[[#This Row],[Patrimônio Líquido]],0)/Tabela3[[#This Row],[Ref]]*4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2.312588816579864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</v>
      </c>
      <c r="AO342" s="44">
        <f>[Cotação]/[VPA]</f>
        <v>0.21382140790527909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t="11.25" customHeight="1">
      <c r="A343" s="4" t="s">
        <v>309</v>
      </c>
      <c r="B343" s="57" t="s">
        <v>679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190634760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3" s="19">
        <f>IF(Tabela3[[#This Row],[Lucro Líquido]]&gt;0,Tabela3[[#This Row],[Lucro Líquido]]/Tabela3[[#This Row],[Patrimônio Líquido]],0)/Tabela3[[#This Row],[Ref]]*4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2.312588816579864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0.61</v>
      </c>
      <c r="AO343" s="44">
        <f>[Cotação]/[VPA]</f>
        <v>7.236912914736922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1400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0.61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t="11.25" customHeight="1">
      <c r="A344" s="4" t="s">
        <v>309</v>
      </c>
      <c r="B344" s="57" t="s">
        <v>680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34376760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4" s="19">
        <f>IF(Tabela3[[#This Row],[Lucro Líquido]]&gt;0,Tabela3[[#This Row],[Lucro Líquido]]/Tabela3[[#This Row],[Patrimônio Líquido]],0)/Tabela3[[#This Row],[Ref]]*4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2.312588816579864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0.11</v>
      </c>
      <c r="AO344" s="44">
        <f>[Cotação]/[VPA]</f>
        <v>1.3050170829853467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8100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0.11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t="11.25" customHeight="1">
      <c r="A345" s="3" t="s">
        <v>1243</v>
      </c>
      <c r="B345" s="58" t="s">
        <v>1237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5" s="18">
        <f>IF(Tabela3[[#This Row],[Lucro Líquido]]&gt;0,Tabela3[[#This Row],[Lucro Líquido]]/Tabela3[[#This Row],[Patrimônio Líquido]],0)/Tabela3[[#This Row],[Ref]]*4</f>
        <v>0.11056129038045494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2.312588816579864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A.A.]&gt;=5%,SUMPRODUCT(N([Nome]=Tabela3[[#This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 ht="11.25" customHeight="1">
      <c r="A346" s="3" t="s">
        <v>1243</v>
      </c>
      <c r="B346" s="58" t="s">
        <v>1238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165996211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6" s="18">
        <f>IF(Tabela3[[#This Row],[Lucro Líquido]]&gt;0,Tabela3[[#This Row],[Lucro Líquido]]/Tabela3[[#This Row],[Patrimônio Líquido]],0)/Tabela3[[#This Row],[Ref]]*4</f>
        <v>0.11056129038045494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2.312588816579864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</v>
      </c>
      <c r="AO346" s="53">
        <f>[Cotação]/[VPA]</f>
        <v>0.88652801860187591</v>
      </c>
      <c r="AP346" s="37">
        <f>IF(Tabela3[[#This Row],[Lucro/Ação]]&gt;0,Tabela3[[#This Row],[Cotação]]/(Tabela3[[#This Row],[Lucro/Ação]]/[Ref]*4),0)</f>
        <v>8.0184304610702757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2.3675598421013879E-2</v>
      </c>
      <c r="AU346" s="22">
        <f>((1+Tabela3[[#This Row],[% Yield]])^(1/(3*Tabela3[[#This Row],[Ref]])))^(12)-1</f>
        <v>3.1691378691335537E-2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</v>
      </c>
    </row>
    <row r="347" spans="1:54" ht="11.25" customHeight="1">
      <c r="A347" s="3" t="s">
        <v>336</v>
      </c>
      <c r="B347" s="58" t="s">
        <v>347</v>
      </c>
      <c r="C347" s="83" t="str">
        <f>LEFT([PAPEL],LEN([PAPEL])-(LEN([PAPEL])-4))</f>
        <v>MULT</v>
      </c>
      <c r="D347" s="16">
        <v>4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>
        <v>5678320000</v>
      </c>
      <c r="N347" s="54">
        <v>471283000</v>
      </c>
      <c r="O347" s="54">
        <v>313058000</v>
      </c>
      <c r="P347" s="5">
        <v>3819988000</v>
      </c>
      <c r="Q347" s="5">
        <v>283942000</v>
      </c>
      <c r="R347" s="5">
        <f>IF(Tabela3[[#This Row],[Ativo || Passivo]]&gt;0,Tabela3[[#This Row],[Ativo || Passivo]]-Tabela3[[#This Row],[Patrimônio Líquido]],0)</f>
        <v>1858332000</v>
      </c>
      <c r="S347" s="5">
        <f>Tabela3[[#This Row],[Cotação]]*Tabela3[[#This Row],[Total Ações]]</f>
        <v>8810170813.1800003</v>
      </c>
      <c r="T347" s="130">
        <f>IF(Tabela3[[#This Row],[Passivo Circulante]]&gt;0,Tabela3[[#This Row],[Ativo Circulante]]/Tabela3[[#This Row],[Passivo Circulante]],0)</f>
        <v>1.5054175264647445</v>
      </c>
      <c r="U34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7" s="18">
        <f>IF(Tabela3[[#This Row],[Lucro Líquido]]&gt;0,Tabela3[[#This Row],[Lucro Líquido]]/Tabela3[[#This Row],[Patrimônio Líquido]],0)/Tabela3[[#This Row],[Ref]]*4</f>
        <v>7.4330599991413587E-2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7" s="18">
        <f>IF(Tabela3[[#This Row],[Dívida]]&gt;0,Tabela3[[#This Row],[Dívida]]/Tabela3[[#This Row],[Patrimônio Líquido]],0)</f>
        <v>0.48647587374620027</v>
      </c>
      <c r="Y347" s="18">
        <f>SUMPRODUCT(N([Dívida / PL]&gt;0),N(RIGHT([PAPEL],LEN([PAPEL])-(LEN([PAPEL])-1))="3"),[Dívida / PL])/SUMPRODUCT(N([Dívida / PL]&gt;0),N(RIGHT([PAPEL],LEN([PAPEL])-(LEN([PAPEL])-1))="3"))</f>
        <v>2.312588816579864</v>
      </c>
      <c r="Z347" s="5">
        <f>Tabela3[[#This Row],[Capital Social]]*20%</f>
        <v>477612429.47600007</v>
      </c>
      <c r="AA347" s="5">
        <f>IF(([Lucro Líquido]*5%)&gt;[Teto R. Legal],[Teto R. Legal],[Lucro Líquido]*5%)</f>
        <v>14197100</v>
      </c>
      <c r="AB347" s="5">
        <f>IF([Lucro Líquido]&lt;0,0,[Lucro Líquido]-[Reserva Legal])</f>
        <v>269744900</v>
      </c>
      <c r="AC347" s="5">
        <f>Tabela3[[#This Row],[Lucro Distribuir]]*[%Div]</f>
        <v>67436225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1.4944534923548931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7" s="5">
        <f>[Div Base]*[Ações]</f>
        <v>63227309.829169787</v>
      </c>
      <c r="AL347" s="5">
        <f>SUMPRODUCT(N([Nome]=Tabela3[[#This Row],[Nome]]),[Div Base]*[Ações])</f>
        <v>67436225</v>
      </c>
      <c r="AM347" s="5">
        <f>[Patrimônio Líquido]/[Total Ações]</f>
        <v>20.105494810044952</v>
      </c>
      <c r="AN347" s="52">
        <f>MAX(Tabela3[[#This Row],[Cotação 1]:[Cotação 5]])</f>
        <v>46.37</v>
      </c>
      <c r="AO347" s="53">
        <f>[Cotação]/[VPA]</f>
        <v>2.3063346830356535</v>
      </c>
      <c r="AP347" s="37">
        <f>IF(Tabela3[[#This Row],[Lucro/Ação]]&gt;0,Tabela3[[#This Row],[Cotação]]/(Tabela3[[#This Row],[Lucro/Ação]]/[Ref]*4),0)</f>
        <v>31.028064932908833</v>
      </c>
      <c r="AQ347" s="77">
        <f>[Lucro Distribuir]/[Total Ações]</f>
        <v>1.4197308177371486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7" s="16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7.6543606735882501E-3</v>
      </c>
      <c r="AU347" s="18">
        <f>((1+Tabela3[[#This Row],[% Yield]])^(1/(3*Tabela3[[#This Row],[Ref]])))^(12)-1</f>
        <v>7.6543606735870462E-3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46.37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t="11.25" customHeight="1">
      <c r="A348" s="3" t="s">
        <v>336</v>
      </c>
      <c r="B348" s="58" t="s">
        <v>723</v>
      </c>
      <c r="C348" s="15" t="str">
        <f>LEFT([PAPEL],LEN([PAPEL])-(LEN([PAPEL])-4))</f>
        <v>MULT</v>
      </c>
      <c r="D348" s="16">
        <v>4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8" s="18">
        <f>IF(Tabela3[[#This Row],[Lucro Líquido]]&gt;0,Tabela3[[#This Row],[Lucro Líquido]]/Tabela3[[#This Row],[Patrimônio Líquido]],0)/Tabela3[[#This Row],[Ref]]*4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2.312588816579864</v>
      </c>
      <c r="Z348" s="13">
        <f>Tabela3[[#This Row],[Capital Social]]*20%</f>
        <v>477612429.47600007</v>
      </c>
      <c r="AA348" s="13">
        <f>IF(([Lucro Líquido]*5%)&gt;[Teto R. Legal],[Teto R. Legal],[Lucro Líquido]*5%)</f>
        <v>14197100</v>
      </c>
      <c r="AB348" s="13">
        <f>IF([Lucro Líquido]&lt;0,0,[Lucro Líquido]-[Reserva Legal])</f>
        <v>269744900</v>
      </c>
      <c r="AC348" s="13">
        <f>Tabela3[[#This Row],[Lucro Distribuir]]*[%Div]</f>
        <v>67436225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1.4944534923548931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13">
        <f>[Div Base]*[Ações]</f>
        <v>4208915.1708302153</v>
      </c>
      <c r="AL348" s="13">
        <f>SUMPRODUCT(N([Nome]=Tabela3[[#This Row],[Nome]]),[Div Base]*[Ações])</f>
        <v>67436225</v>
      </c>
      <c r="AM348" s="6">
        <f>[Patrimônio Líquido]/[Total Ações]</f>
        <v>20.105494810044952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1.4197308177371486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4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t="11.25" customHeight="1">
      <c r="A349" s="3" t="s">
        <v>1320</v>
      </c>
      <c r="B349" s="58" t="s">
        <v>1300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9" s="18">
        <f>IF(Tabela3[[#This Row],[Lucro Líquido]]&gt;0,Tabela3[[#This Row],[Lucro Líquido]]/Tabela3[[#This Row],[Patrimônio Líquido]],0)/Tabela3[[#This Row],[Ref]]*4</f>
        <v>-0.55168786773165046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2.312588816579864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200</v>
      </c>
      <c r="AW349" s="7">
        <f>Tabela3[[#This Row],[Ativos]]*[Lucro]</f>
        <v>9.383302731044493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 ht="11.25" customHeight="1">
      <c r="A350" s="3" t="s">
        <v>1320</v>
      </c>
      <c r="B350" s="58" t="s">
        <v>1301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30870054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0" s="18">
        <f>IF(Tabela3[[#This Row],[Lucro Líquido]]&gt;0,Tabela3[[#This Row],[Lucro Líquido]]/Tabela3[[#This Row],[Patrimônio Líquido]],0)/Tabela3[[#This Row],[Ref]]*4</f>
        <v>-0.55168786773165046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2.312588816579864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1.5</v>
      </c>
      <c r="AO350" s="53">
        <f>[Cotação]/[VPA]</f>
        <v>-3.0440838181638892</v>
      </c>
      <c r="AP350" s="37">
        <f>IF(Tabela3[[#This Row],[Lucro/Ação]]&gt;0,Tabela3[[#This Row],[Cotação]]/(Tabela3[[#This Row],[Lucro/Ação]]/[Ref]*4),0)</f>
        <v>5.5177646568160146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3.4405443394295E-2</v>
      </c>
      <c r="AU350" s="22">
        <f>((1+Tabela3[[#This Row],[% Yield]])^(1/(3*Tabela3[[#This Row],[Ref]])))^(12)-1</f>
        <v>4.6134993752804609E-2</v>
      </c>
      <c r="AV350" s="10">
        <f>IF([Cotação]&gt;0,($BH$1/Tabela3[[#This Row],[Cotação]]-MOD($BH$1/Tabela3[[#This Row],[Cotação]],100)),)</f>
        <v>600</v>
      </c>
      <c r="AW350" s="7">
        <f>Tabela3[[#This Row],[Ativos]]*[Lucro]</f>
        <v>30.964899054865498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1.5</v>
      </c>
    </row>
    <row r="351" spans="1:54" ht="11.25" customHeight="1">
      <c r="A351" s="3" t="s">
        <v>1320</v>
      </c>
      <c r="B351" s="57" t="s">
        <v>1318</v>
      </c>
      <c r="C351" s="16" t="str">
        <f>LEFT([PAPEL],LEN([PAPEL])-(LEN([PAPEL])-4))</f>
        <v>MYPK</v>
      </c>
      <c r="D351" s="16">
        <v>4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>
        <v>3358493000</v>
      </c>
      <c r="N351" s="54">
        <v>640518000</v>
      </c>
      <c r="O351" s="54">
        <v>408872000</v>
      </c>
      <c r="P351" s="91">
        <v>1221081000</v>
      </c>
      <c r="Q351" s="73">
        <v>170329000</v>
      </c>
      <c r="R351" s="73">
        <f>IF(Tabela3[[#This Row],[Ativo || Passivo]]&gt;0,Tabela3[[#This Row],[Ativo || Passivo]]-Tabela3[[#This Row],[Patrimônio Líquido]],0)</f>
        <v>2137412000</v>
      </c>
      <c r="S351" s="73">
        <f>Tabela3[[#This Row],[Cotação]]*Tabela3[[#This Row],[Total Ações]]</f>
        <v>2255850986.1600003</v>
      </c>
      <c r="T351" s="37">
        <f>IF(Tabela3[[#This Row],[Passivo Circulante]]&gt;0,Tabela3[[#This Row],[Ativo Circulante]]/Tabela3[[#This Row],[Passivo Circulante]],0)</f>
        <v>1.5665489444129215</v>
      </c>
      <c r="U35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1" s="18">
        <f>IF(Tabela3[[#This Row],[Lucro Líquido]]&gt;0,Tabela3[[#This Row],[Lucro Líquido]]/Tabela3[[#This Row],[Patrimônio Líquido]],0)/Tabela3[[#This Row],[Ref]]*4</f>
        <v>0.13949033684088116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1" s="18">
        <f>IF(Tabela3[[#This Row],[Dívida]]&gt;0,Tabela3[[#This Row],[Dívida]]/Tabela3[[#This Row],[Patrimônio Líquido]],0)</f>
        <v>1.7504260569118675</v>
      </c>
      <c r="Y351" s="18">
        <f>SUMPRODUCT(N([Dívida / PL]&gt;0),N(RIGHT([PAPEL],LEN([PAPEL])-(LEN([PAPEL])-1))="3"),[Dívida / PL])/SUMPRODUCT(N([Dívida / PL]&gt;0),N(RIGHT([PAPEL],LEN([PAPEL])-(LEN([PAPEL])-1))="3"))</f>
        <v>2.312588816579864</v>
      </c>
      <c r="Z351" s="7">
        <f>Tabela3[[#This Row],[Capital Social]]*20%</f>
        <v>140000000</v>
      </c>
      <c r="AA351" s="47">
        <f>IF(([Lucro Líquido]*5%)&gt;[Teto R. Legal],[Teto R. Legal],[Lucro Líquido]*5%)</f>
        <v>8516450</v>
      </c>
      <c r="AB351" s="47">
        <f>IF([Lucro Líquido]&lt;0,0,[Lucro Líquido]-[Reserva Legal])</f>
        <v>161812550</v>
      </c>
      <c r="AC351" s="47">
        <f>Tabela3[[#This Row],[Lucro Distribuir]]*[%Div]</f>
        <v>59870643.5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1.7955191388305278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1" s="7">
        <f>[Div Base]*[Ações]</f>
        <v>59870643.499999993</v>
      </c>
      <c r="AL351" s="120">
        <f>SUMPRODUCT(N([Nome]=Tabela3[[#This Row],[Nome]]),[Div Base]*[Ações])</f>
        <v>59870643.499999993</v>
      </c>
      <c r="AM351" s="5">
        <f>[Patrimônio Líquido]/[Total Ações]</f>
        <v>12.871996580513709</v>
      </c>
      <c r="AN351" s="52">
        <f>MAX(Tabela3[[#This Row],[Cotação 1]:[Cotação 5]])</f>
        <v>23.78</v>
      </c>
      <c r="AO351" s="53">
        <f>[Cotação]/[VPA]</f>
        <v>1.8474212490080513</v>
      </c>
      <c r="AP351" s="37">
        <f>IF(Tabela3[[#This Row],[Lucro/Ação]]&gt;0,Tabela3[[#This Row],[Cotação]]/(Tabela3[[#This Row],[Lucro/Ação]]/[Ref]*4),0)</f>
        <v>13.244080492223873</v>
      </c>
      <c r="AQ351" s="85">
        <f>[Lucro Distribuir]/[Total Ações]</f>
        <v>1.7057431818890014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2.6540158843521046E-2</v>
      </c>
      <c r="AU351" s="22">
        <f>((1+Tabela3[[#This Row],[% Yield]])^(1/(3*Tabela3[[#This Row],[Ref]])))^(12)-1</f>
        <v>2.6540158843520567E-2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23.78</v>
      </c>
    </row>
    <row r="352" spans="1:54" ht="11.25" customHeight="1">
      <c r="A352" s="3" t="s">
        <v>940</v>
      </c>
      <c r="B352" s="58" t="s">
        <v>936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2" s="18">
        <f>IF(Tabela3[[#This Row],[Lucro Líquido]]&gt;0,Tabela3[[#This Row],[Lucro Líquido]]/Tabela3[[#This Row],[Patrimônio Líquido]],0)/Tabela3[[#This Row],[Ref]]*4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2.312588816579864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t="11.25" customHeight="1">
      <c r="A353" s="3" t="s">
        <v>940</v>
      </c>
      <c r="B353" s="58" t="s">
        <v>937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3" s="18">
        <f>IF(Tabela3[[#This Row],[Lucro Líquido]]&gt;0,Tabela3[[#This Row],[Lucro Líquido]]/Tabela3[[#This Row],[Patrimônio Líquido]],0)/Tabela3[[#This Row],[Ref]]*4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2.312588816579864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 ht="11.25" customHeight="1">
      <c r="A354" s="3" t="s">
        <v>770</v>
      </c>
      <c r="B354" s="58" t="s">
        <v>771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15455615221.760002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4" s="18">
        <f>IF(Tabela3[[#This Row],[Lucro Líquido]]&gt;0,Tabela3[[#This Row],[Lucro Líquido]]/Tabela3[[#This Row],[Patrimônio Líquido]],0)/Tabela3[[#This Row],[Ref]]*4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2.312588816579864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35.840000000000003</v>
      </c>
      <c r="AO354" s="53">
        <f>[Cotação]/[VPA]</f>
        <v>13.490848516379971</v>
      </c>
      <c r="AP354" s="37">
        <f>IF(Tabela3[[#This Row],[Lucro/Ação]]&gt;0,Tabela3[[#This Row],[Cotação]]/(Tabela3[[#This Row],[Lucro/Ação]]/[Ref]*4),0)</f>
        <v>18.342592548088792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1.5537607306754225E-2</v>
      </c>
      <c r="AU354" s="22">
        <f>((1+Tabela3[[#This Row],[% Yield]])^(1/(3*Tabela3[[#This Row],[Ref]])))^(12)-1</f>
        <v>1.5537607306753465E-2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35.840000000000003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 ht="11.25" customHeight="1">
      <c r="A355" s="3" t="s">
        <v>1006</v>
      </c>
      <c r="B355" s="58" t="s">
        <v>1007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5" s="18">
        <f>IF(Tabela3[[#This Row],[Lucro Líquido]]&gt;0,Tabela3[[#This Row],[Lucro Líquido]]/Tabela3[[#This Row],[Patrimônio Líquido]],0)/Tabela3[[#This Row],[Ref]]*4</f>
        <v>4.6845983318573571E-2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2.312588816579864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 ht="11.25" customHeight="1">
      <c r="A356" s="3" t="s">
        <v>1006</v>
      </c>
      <c r="B356" s="58" t="s">
        <v>1008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9620129008.0500011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6" s="18">
        <f>IF(Tabela3[[#This Row],[Lucro Líquido]]&gt;0,Tabela3[[#This Row],[Lucro Líquido]]/Tabela3[[#This Row],[Patrimônio Líquido]],0)/Tabela3[[#This Row],[Ref]]*4</f>
        <v>4.6845983318573571E-2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2.312588816579864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28.05</v>
      </c>
      <c r="AO356" s="53">
        <f>[Cotação]/[VPA]</f>
        <v>1.670480301455139</v>
      </c>
      <c r="AP356" s="37">
        <f>IF(Tabela3[[#This Row],[Lucro/Ação]]&gt;0,Tabela3[[#This Row],[Cotação]]/(Tabela3[[#This Row],[Lucro/Ação]]/[Ref]*4),0)</f>
        <v>35.658986814197668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5.3237951081531992E-3</v>
      </c>
      <c r="AU356" s="22">
        <f>((1+Tabela3[[#This Row],[% Yield]])^(1/(3*Tabela3[[#This Row],[Ref]])))^(12)-1</f>
        <v>7.1046844413478194E-3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28.05</v>
      </c>
      <c r="BB356" s="7">
        <f>SUMPRODUCT(N(Tabela17683[Código]=Tabela3[[#This Row],[PAPEL]]),Tabela17683[Fechamento])</f>
        <v>0</v>
      </c>
    </row>
    <row r="357" spans="1:54" ht="11.25" customHeight="1">
      <c r="A357" s="4" t="s">
        <v>647</v>
      </c>
      <c r="B357" s="57" t="s">
        <v>323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/>
      <c r="N357" s="55"/>
      <c r="O357" s="55"/>
      <c r="P357" s="92">
        <v>30416000</v>
      </c>
      <c r="Q357" s="93">
        <v>-2203000</v>
      </c>
      <c r="R357" s="93">
        <f>IF(Tabela3[[#This Row],[Ativo || Passivo]]&gt;0,Tabela3[[#This Row],[Ativo || Passivo]]-Tabela3[[#This Row],[Patrimônio Líquido]],0)</f>
        <v>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</v>
      </c>
      <c r="U357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7" s="19">
        <f>IF(Tabela3[[#This Row],[Lucro Líquido]]&gt;0,Tabela3[[#This Row],[Lucro Líquido]]/Tabela3[[#This Row],[Patrimônio Líquido]],0)/Tabela3[[#This Row],[Ref]]*4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7" s="19">
        <f>IF(Tabela3[[#This Row],[Dívida]]&gt;0,Tabela3[[#This Row],[Dívida]]/Tabela3[[#This Row],[Patrimônio Líquido]],0)</f>
        <v>0</v>
      </c>
      <c r="Y357" s="19">
        <f>SUMPRODUCT(N([Dívida / PL]&gt;0),N(RIGHT([PAPEL],LEN([PAPEL])-(LEN([PAPEL])-1))="3"),[Dívida / PL])/SUMPRODUCT(N([Dívida / PL]&gt;0),N(RIGHT([PAPEL],LEN([PAPEL])-(LEN([PAPEL])-1))="3"))</f>
        <v>2.312588816579864</v>
      </c>
      <c r="Z357" s="13">
        <f>Tabela3[[#This Row],[Capital Social]]*20%</f>
        <v>4575592.2</v>
      </c>
      <c r="AA357" s="13">
        <f>IF(([Lucro Líquido]*5%)&gt;[Teto R. Legal],[Teto R. Legal],[Lucro Líquido]*5%)</f>
        <v>-110150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-0.177451239573028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2.450003133387753</v>
      </c>
      <c r="AN357" s="48">
        <f>MAX(Tabela3[[#This Row],[Cotação 1]:[Cotação 5]])</f>
        <v>1.51</v>
      </c>
      <c r="AO357" s="44">
        <f>[Cotação]/[VPA]</f>
        <v>0.61632574237243554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A.A.]&gt;=5%,SUMPRODUCT(N([Nome]=Tabela3[[#This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500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t="11.25" customHeight="1">
      <c r="A358" s="4" t="s">
        <v>726</v>
      </c>
      <c r="B358" s="57" t="s">
        <v>732</v>
      </c>
      <c r="C358" s="15" t="str">
        <f>LEFT([PAPEL],LEN([PAPEL])-(LEN([PAPEL])-4))</f>
        <v>ODPV</v>
      </c>
      <c r="D358" s="15">
        <v>4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>
        <v>1057787000</v>
      </c>
      <c r="N358" s="55">
        <v>337959000</v>
      </c>
      <c r="O358" s="55">
        <v>208871000</v>
      </c>
      <c r="P358" s="92">
        <v>695695000</v>
      </c>
      <c r="Q358" s="93">
        <v>188091000</v>
      </c>
      <c r="R358" s="93">
        <f>IF(Tabela3[[#This Row],[Ativo || Passivo]]&gt;0,Tabela3[[#This Row],[Ativo || Passivo]]-Tabela3[[#This Row],[Patrimônio Líquido]],0)</f>
        <v>362092000</v>
      </c>
      <c r="S358" s="93">
        <f>Tabela3[[#This Row],[Cotação]]*Tabela3[[#This Row],[Total Ações]]</f>
        <v>4659455325.8400002</v>
      </c>
      <c r="T358" s="40">
        <f>IF(Tabela3[[#This Row],[Passivo Circulante]]&gt;0,Tabela3[[#This Row],[Ativo Circulante]]/Tabela3[[#This Row],[Passivo Circulante]],0)</f>
        <v>1.6180273948992441</v>
      </c>
      <c r="U35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8" s="19">
        <f>IF(Tabela3[[#This Row],[Lucro Líquido]]&gt;0,Tabela3[[#This Row],[Lucro Líquido]]/Tabela3[[#This Row],[Patrimônio Líquido]],0)/Tabela3[[#This Row],[Ref]]*4</f>
        <v>0.27036416820589482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8" s="19">
        <f>IF(Tabela3[[#This Row],[Dívida]]&gt;0,Tabela3[[#This Row],[Dívida]]/Tabela3[[#This Row],[Patrimônio Líquido]],0)</f>
        <v>0.52047520824499238</v>
      </c>
      <c r="Y358" s="19">
        <f>SUMPRODUCT(N([Dívida / PL]&gt;0),N(RIGHT([PAPEL],LEN([PAPEL])-(LEN([PAPEL])-1))="3"),[Dívida / PL])/SUMPRODUCT(N([Dívida / PL]&gt;0),N(RIGHT([PAPEL],LEN([PAPEL])-(LEN([PAPEL])-1))="3"))</f>
        <v>2.312588816579864</v>
      </c>
      <c r="Z358" s="13">
        <f>Tabela3[[#This Row],[Capital Social]]*20%</f>
        <v>101311494.54000001</v>
      </c>
      <c r="AA358" s="13">
        <f>IF(([Lucro Líquido]*5%)&gt;[Teto R. Legal],[Teto R. Legal],[Lucro Líquido]*5%)</f>
        <v>9404550</v>
      </c>
      <c r="AB358" s="13">
        <f>IF([Lucro Líquido]&lt;0,0,[Lucro Líquido]-[Reserva Legal])</f>
        <v>178686450</v>
      </c>
      <c r="AC358" s="13">
        <f>Tabela3[[#This Row],[Lucro Distribuir]]*[%Div]</f>
        <v>89343225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0.35402379777138865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8" s="13">
        <f>[Div Base]*[Ações]</f>
        <v>89343225</v>
      </c>
      <c r="AL358" s="13">
        <f>SUMPRODUCT(N([Nome]=Tabela3[[#This Row],[Nome]]),[Div Base]*[Ações])</f>
        <v>89343225</v>
      </c>
      <c r="AM358" s="6">
        <f>[Patrimônio Líquido]/[Total Ações]</f>
        <v>1.3094331254050764</v>
      </c>
      <c r="AN358" s="48">
        <f>MAX(Tabela3[[#This Row],[Cotação 1]:[Cotação 5]])</f>
        <v>8.77</v>
      </c>
      <c r="AO358" s="44">
        <f>[Cotação]/[VPA]</f>
        <v>6.697554712683</v>
      </c>
      <c r="AP358" s="40">
        <f>IF(Tabela3[[#This Row],[Lucro/Ação]]&gt;0,Tabela3[[#This Row],[Cotação]]/(Tabela3[[#This Row],[Lucro/Ação]]/[Ref]*4),0)</f>
        <v>24.772345969982613</v>
      </c>
      <c r="AQ358" s="78">
        <f>[Lucro Distribuir]/[Total Ações]</f>
        <v>0.3363226078828192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1.9174607062874528E-2</v>
      </c>
      <c r="AU358" s="42">
        <f>((1+Tabela3[[#This Row],[% Yield]])^(1/(3*Tabela3[[#This Row],[Ref]])))^(12)-1</f>
        <v>1.9174607062873772E-2</v>
      </c>
      <c r="AV358" s="14">
        <f>IF([Cotação]&gt;0,($BH$1/Tabela3[[#This Row],[Cotação]]-MOD($BH$1/Tabela3[[#This Row],[Cotação]],100)),)</f>
        <v>100</v>
      </c>
      <c r="AW358" s="17">
        <f>Tabela3[[#This Row],[Ativos]]*[Lucro]</f>
        <v>16.816130394140959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8.77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t="11.25" customHeight="1">
      <c r="A359" s="4" t="s">
        <v>237</v>
      </c>
      <c r="B359" s="127" t="s">
        <v>580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9" s="19">
        <f>IF(Tabela3[[#This Row],[Lucro Líquido]]&gt;0,Tabela3[[#This Row],[Lucro Líquido]]/Tabela3[[#This Row],[Patrimônio Líquido]],0)/Tabela3[[#This Row],[Ref]]*4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2.312588816579864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t="11.25" customHeight="1">
      <c r="A360" s="3" t="s">
        <v>284</v>
      </c>
      <c r="B360" s="57" t="s">
        <v>280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6919090655.4000006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0" s="18">
        <f>IF(Tabela3[[#This Row],[Lucro Líquido]]&gt;0,Tabela3[[#This Row],[Lucro Líquido]]/Tabela3[[#This Row],[Patrimônio Líquido]],0)/Tabela3[[#This Row],[Ref]]*4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2.312588816579864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3.85</v>
      </c>
      <c r="AO360" s="53">
        <f>[Cotação]/[VPA]</f>
        <v>0.6003998438234599</v>
      </c>
      <c r="AP360" s="37">
        <f>IF(Tabela3[[#This Row],[Lucro/Ação]]&gt;0,Tabela3[[#This Row],[Cotação]]/(Tabela3[[#This Row],[Lucro/Ação]]/[Ref]*4),0)</f>
        <v>4.6343075289933457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2.4171338680058455E-2</v>
      </c>
      <c r="AU360" s="18">
        <f>((1+Tabela3[[#This Row],[% Yield]])^(1/(3*Tabela3[[#This Row],[Ref]])))^(12)-1</f>
        <v>2.4171338680059051E-2</v>
      </c>
      <c r="AV360" s="10">
        <f>IF([Cotação]&gt;0,($BH$1/Tabela3[[#This Row],[Cotação]]-MOD($BH$1/Tabela3[[#This Row],[Cotação]],100)),)</f>
        <v>200</v>
      </c>
      <c r="AW360" s="7">
        <f>Tabela3[[#This Row],[Ativos]]*[Lucro]</f>
        <v>18.611930783645011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3.85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>
      <c r="A361" s="3" t="s">
        <v>284</v>
      </c>
      <c r="B361" s="58" t="s">
        <v>281</v>
      </c>
      <c r="C361" s="83" t="str">
        <f>LEFT([PAPEL],LEN([PAPEL])-(LEN([PAPEL])-4))</f>
        <v>OIBR</v>
      </c>
      <c r="D361" s="16">
        <v>4</v>
      </c>
      <c r="E361" s="5">
        <v>7471208836.6300001</v>
      </c>
      <c r="F361" s="56">
        <v>1198077775</v>
      </c>
      <c r="G361" s="81">
        <v>0.25</v>
      </c>
      <c r="H361" s="18">
        <v>0.03</v>
      </c>
      <c r="I361" s="18">
        <v>0.06</v>
      </c>
      <c r="J361" s="18"/>
      <c r="K361" s="87"/>
      <c r="L361" s="87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6343997406.1199999</v>
      </c>
      <c r="T361" s="130">
        <f>IF(Tabela3[[#This Row],[Passivo Circulante]]&gt;0,Tabela3[[#This Row],[Ativo Circulante]]/Tabela3[[#This Row],[Passivo Circulante]],0)</f>
        <v>0.99441321688069029</v>
      </c>
      <c r="U361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1" s="18">
        <f>IF(Tabela3[[#This Row],[Lucro Líquido]]&gt;0,Tabela3[[#This Row],[Lucro Líquido]]/Tabela3[[#This Row],[Patrimônio Líquido]],0)/Tabela3[[#This Row],[Ref]]*4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2.312588816579864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7">
        <f>Tabela3[[#This Row],[Lucro Líquido]]/Tabela3[[#This Row],[Total Ações]]</f>
        <v>0.83076057769439582</v>
      </c>
      <c r="AG3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1" s="5">
        <f>[Div Base]*[Ações]</f>
        <v>298840082.01891607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3.53</v>
      </c>
      <c r="AO361" s="53">
        <f>[Cotação]/[VPA]</f>
        <v>0.55049648018099051</v>
      </c>
      <c r="AP361" s="37">
        <f>IF(Tabela3[[#This Row],[Lucro/Ação]]&gt;0,Tabela3[[#This Row],[Cotação]]/(Tabela3[[#This Row],[Lucro/Ação]]/[Ref]*4),0)</f>
        <v>4.2491183317783143</v>
      </c>
      <c r="AQ361" s="77">
        <f>[Lucro Distribuir]/[Total Ações]</f>
        <v>0.78922254880967602</v>
      </c>
      <c r="AR361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7.0660894307011432E-2</v>
      </c>
      <c r="AU361" s="18">
        <f>((1+Tabela3[[#This Row],[% Yield]])^(1/(3*Tabela3[[#This Row],[Ref]])))^(12)-1</f>
        <v>7.0660894307011057E-2</v>
      </c>
      <c r="AV361" s="14">
        <f>IF([Cotação]&gt;0,($BH$1/Tabela3[[#This Row],[Cotação]]-MOD($BH$1/Tabela3[[#This Row],[Cotação]],100)),)</f>
        <v>200</v>
      </c>
      <c r="AW361" s="7">
        <f>Tabela3[[#This Row],[Ativos]]*[Lucro]</f>
        <v>49.886591380750069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3.53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t="11.25" customHeight="1">
      <c r="A362" s="4" t="s">
        <v>585</v>
      </c>
      <c r="B362" s="126" t="s">
        <v>586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2" s="19">
        <f>IF(Tabela3[[#This Row],[Lucro Líquido]]&gt;0,Tabela3[[#This Row],[Lucro Líquido]]/Tabela3[[#This Row],[Patrimônio Líquido]],0)/Tabela3[[#This Row],[Ref]]*4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2.312588816579864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A.A.]&gt;=5%,SUMPRODUCT(N([Nome]=Tabela3[[#This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326</v>
      </c>
      <c r="B363" s="57" t="s">
        <v>405</v>
      </c>
      <c r="C363" s="82" t="str">
        <f>LEFT([PAPEL],LEN([PAPEL])-(LEN([PAPEL])-4))</f>
        <v>PATI</v>
      </c>
      <c r="D363" s="16">
        <v>3</v>
      </c>
      <c r="E363" s="5">
        <v>140000000</v>
      </c>
      <c r="F363" s="8">
        <v>11841369</v>
      </c>
      <c r="G363" s="86">
        <v>0.25</v>
      </c>
      <c r="J363" s="18"/>
      <c r="K363" s="87"/>
      <c r="L363" s="87"/>
      <c r="M363" s="13">
        <v>510692000</v>
      </c>
      <c r="N363" s="13">
        <v>218703000</v>
      </c>
      <c r="O363" s="13">
        <v>135960000</v>
      </c>
      <c r="P363" s="6">
        <v>241884000</v>
      </c>
      <c r="Q363" s="6">
        <v>56208000</v>
      </c>
      <c r="R363" s="6">
        <f>IF(Tabela3[[#This Row],[Ativo || Passivo]]&gt;0,Tabela3[[#This Row],[Ativo || Passivo]]-Tabela3[[#This Row],[Patrimônio Líquido]],0)</f>
        <v>268808000</v>
      </c>
      <c r="S363" s="13">
        <f>Tabela3[[#This Row],[Cotação]]*Tabela3[[#This Row],[Total Ações]]</f>
        <v>239157978</v>
      </c>
      <c r="T363" s="132">
        <f>IF(Tabela3[[#This Row],[Passivo Circulante]]&gt;0,Tabela3[[#This Row],[Ativo Circulante]]/Tabela3[[#This Row],[Passivo Circulante]],0)</f>
        <v>1.6085834068843778</v>
      </c>
      <c r="U36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3" s="19">
        <f>IF(Tabela3[[#This Row],[Lucro Líquido]]&gt;0,Tabela3[[#This Row],[Lucro Líquido]]/Tabela3[[#This Row],[Patrimônio Líquido]],0)/Tabela3[[#This Row],[Ref]]*4</f>
        <v>0.30983446610772108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3" s="19">
        <f>IF(Tabela3[[#This Row],[Dívida]]&gt;0,Tabela3[[#This Row],[Dívida]]/Tabela3[[#This Row],[Patrimônio Líquido]],0)</f>
        <v>1.1113095533396173</v>
      </c>
      <c r="Y363" s="19">
        <f>SUMPRODUCT(N([Dívida / PL]&gt;0),N(RIGHT([PAPEL],LEN([PAPEL])-(LEN([PAPEL])-1))="3"),[Dívida / PL])/SUMPRODUCT(N([Dívida / PL]&gt;0),N(RIGHT([PAPEL],LEN([PAPEL])-(LEN([PAPEL])-1))="3"))</f>
        <v>2.312588816579864</v>
      </c>
      <c r="Z363" s="6">
        <f>Tabela3[[#This Row],[Capital Social]]*20%</f>
        <v>28000000</v>
      </c>
      <c r="AA363" s="6">
        <f>IF(([Lucro Líquido]*5%)&gt;[Teto R. Legal],[Teto R. Legal],[Lucro Líquido]*5%)</f>
        <v>2810400</v>
      </c>
      <c r="AB363" s="6">
        <f>IF([Lucro Líquido]&lt;0,0,[Lucro Líquido]-[Reserva Legal])</f>
        <v>53397600</v>
      </c>
      <c r="AC363" s="6">
        <f>Tabela3[[#This Row],[Lucro Distribuir]]*[%Div]</f>
        <v>13349400</v>
      </c>
      <c r="AD363" s="21">
        <f>SUMPRODUCT(N([Nome]=Tabela3[[#This Row],[Nome]]),[Ações])</f>
        <v>12587262</v>
      </c>
      <c r="AE363" s="5">
        <f>[Capital Social]/[Total Ações]</f>
        <v>11.12235528266592</v>
      </c>
      <c r="AF363" s="77">
        <f>Tabela3[[#This Row],[Lucro Líquido]]/Tabela3[[#This Row],[Total Ações]]</f>
        <v>4.4654667552006151</v>
      </c>
      <c r="AG3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3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363" s="5">
        <f>[Div Base]*[Ações]</f>
        <v>12489389.701912936</v>
      </c>
      <c r="AL363" s="5">
        <f>SUMPRODUCT(N([Nome]=Tabela3[[#This Row],[Nome]]),[Div Base]*[Ações])</f>
        <v>13349400.000000002</v>
      </c>
      <c r="AM363" s="5">
        <f>[Patrimônio Líquido]/[Total Ações]</f>
        <v>19.216569894231167</v>
      </c>
      <c r="AN363" s="80">
        <f>MAX(Tabela3[[#This Row],[Cotação 1]:[Cotação 5]])</f>
        <v>19</v>
      </c>
      <c r="AO363" s="81">
        <f>[Cotação]/[VPA]</f>
        <v>0.98873004415339594</v>
      </c>
      <c r="AP363" s="34">
        <f>IF(Tabela3[[#This Row],[Lucro/Ação]]&gt;0,Tabela3[[#This Row],[Cotação]]/(Tabela3[[#This Row],[Lucro/Ação]]/[Ref]*4),0)</f>
        <v>3.1911557696413317</v>
      </c>
      <c r="AQ363" s="77">
        <f>[Lucro Distribuir]/[Total Ações]</f>
        <v>4.2421934174405838</v>
      </c>
      <c r="AR363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363" s="10" t="str">
        <f>IF(AND([% A.A.]&gt;=5%,SUMPRODUCT(N([Nome]=Tabela3[[#This Row],[Nome]]),[PL])&gt;0,[Rentabilidade s/ PL]&gt;=[Rentabilidade s/ PL Média]),"Sim","Não")</f>
        <v>Sim</v>
      </c>
      <c r="AT363" s="22">
        <f>IF([Cotação]&gt;0,Tabela3[[#This Row],[Lucro]]/Tabela3[[#This Row],[Cotação]],0)</f>
        <v>5.5511850031924583E-2</v>
      </c>
      <c r="AU363" s="18">
        <f>((1+Tabela3[[#This Row],[% Yield]])^(1/(3*Tabela3[[#This Row],[Ref]])))^(12)-1</f>
        <v>7.4692334595486187E-2</v>
      </c>
      <c r="AV363" s="14">
        <f>IF([Cotação]&gt;0,($BH$1/Tabela3[[#This Row],[Cotação]]-MOD($BH$1/Tabela3[[#This Row],[Cotação]],100)),)</f>
        <v>0</v>
      </c>
      <c r="AW363" s="47">
        <f>Tabela3[[#This Row],[Ativos]]*[Lucro]</f>
        <v>0</v>
      </c>
      <c r="AX363" s="47">
        <f>SUMPRODUCT(N(Tabela1[Código]=Tabela3[[#This Row],[PAPEL]]),Tabela1[Fechamento])</f>
        <v>19</v>
      </c>
      <c r="AY363" s="47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4" t="s">
        <v>326</v>
      </c>
      <c r="B364" s="57" t="s">
        <v>325</v>
      </c>
      <c r="C364" s="82" t="str">
        <f>LEFT([PAPEL],LEN([PAPEL])-(LEN([PAPEL])-4))</f>
        <v>PATI</v>
      </c>
      <c r="D364" s="15">
        <v>3</v>
      </c>
      <c r="E364" s="6">
        <v>140000000</v>
      </c>
      <c r="F364" s="8">
        <v>745893</v>
      </c>
      <c r="G364" s="81">
        <v>0.25</v>
      </c>
      <c r="H364" s="9">
        <v>0.06</v>
      </c>
      <c r="I364" s="19">
        <v>0.08</v>
      </c>
      <c r="J364" s="19"/>
      <c r="K364" s="88"/>
      <c r="L364" s="88"/>
      <c r="M364" s="13">
        <v>510692000</v>
      </c>
      <c r="N364" s="13">
        <v>218703000</v>
      </c>
      <c r="O364" s="13">
        <v>135960000</v>
      </c>
      <c r="P364" s="6">
        <v>241884000</v>
      </c>
      <c r="Q364" s="6">
        <v>56208000</v>
      </c>
      <c r="R364" s="6">
        <f>IF(Tabela3[[#This Row],[Ativo || Passivo]]&gt;0,Tabela3[[#This Row],[Ativo || Passivo]]-Tabela3[[#This Row],[Patrimônio Líquido]],0)</f>
        <v>268808000</v>
      </c>
      <c r="S364" s="13">
        <f>Tabela3[[#This Row],[Cotação]]*Tabela3[[#This Row],[Total Ações]]</f>
        <v>233619582.71999997</v>
      </c>
      <c r="T364" s="132">
        <f>IF(Tabela3[[#This Row],[Passivo Circulante]]&gt;0,Tabela3[[#This Row],[Ativo Circulante]]/Tabela3[[#This Row],[Passivo Circulante]],0)</f>
        <v>1.6085834068843778</v>
      </c>
      <c r="U36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4" s="19">
        <f>IF(Tabela3[[#This Row],[Lucro Líquido]]&gt;0,Tabela3[[#This Row],[Lucro Líquido]]/Tabela3[[#This Row],[Patrimônio Líquido]],0)/Tabela3[[#This Row],[Ref]]*4</f>
        <v>0.30983446610772108</v>
      </c>
      <c r="W36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4" s="19">
        <f>IF(Tabela3[[#This Row],[Dívida]]&gt;0,Tabela3[[#This Row],[Dívida]]/Tabela3[[#This Row],[Patrimônio Líquido]],0)</f>
        <v>1.1113095533396173</v>
      </c>
      <c r="Y364" s="19">
        <f>SUMPRODUCT(N([Dívida / PL]&gt;0),N(RIGHT([PAPEL],LEN([PAPEL])-(LEN([PAPEL])-1))="3"),[Dívida / PL])/SUMPRODUCT(N([Dívida / PL]&gt;0),N(RIGHT([PAPEL],LEN([PAPEL])-(LEN([PAPEL])-1))="3"))</f>
        <v>2.312588816579864</v>
      </c>
      <c r="Z364" s="6">
        <f>Tabela3[[#This Row],[Capital Social]]*20%</f>
        <v>28000000</v>
      </c>
      <c r="AA364" s="6">
        <f>IF(([Lucro Líquido]*5%)&gt;[Teto R. Legal],[Teto R. Legal],[Lucro Líquido]*5%)</f>
        <v>2810400</v>
      </c>
      <c r="AB364" s="6">
        <f>IF([Lucro Líquido]&lt;0,0,[Lucro Líquido]-[Reserva Legal])</f>
        <v>53397600</v>
      </c>
      <c r="AC364" s="6">
        <f>Tabela3[[#This Row],[Lucro Distribuir]]*[%Div]</f>
        <v>13349400</v>
      </c>
      <c r="AD364" s="21">
        <f>SUMPRODUCT(N([Nome]=Tabela3[[#This Row],[Nome]]),[Ações])</f>
        <v>12587262</v>
      </c>
      <c r="AE364" s="5">
        <f>[Capital Social]/[Total Ações]</f>
        <v>11.12235528266592</v>
      </c>
      <c r="AF364" s="78">
        <f>Tabela3[[#This Row],[Lucro Líquido]]/Tabela3[[#This Row],[Total Ações]]</f>
        <v>4.4654667552006151</v>
      </c>
      <c r="AG3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64" s="6">
        <f>[Div Base]*[Ações]</f>
        <v>860010.29808706616</v>
      </c>
      <c r="AL364" s="6">
        <f>SUMPRODUCT(N([Nome]=Tabela3[[#This Row],[Nome]]),[Div Base]*[Ações])</f>
        <v>13349400.000000002</v>
      </c>
      <c r="AM364" s="6">
        <f>[Patrimônio Líquido]/[Total Ações]</f>
        <v>19.216569894231167</v>
      </c>
      <c r="AN364" s="48">
        <f>MAX(Tabela3[[#This Row],[Cotação 1]:[Cotação 5]])</f>
        <v>18.559999999999999</v>
      </c>
      <c r="AO364" s="44">
        <f>[Cotação]/[VPA]</f>
        <v>0.96583313786773828</v>
      </c>
      <c r="AP364" s="40">
        <f>IF(Tabela3[[#This Row],[Lucro/Ação]]&gt;0,Tabela3[[#This Row],[Cotação]]/(Tabela3[[#This Row],[Lucro/Ação]]/[Ref]*4),0)</f>
        <v>3.1172553202391113</v>
      </c>
      <c r="AQ364" s="78">
        <f>[Lucro Distribuir]/[Total Ações]</f>
        <v>4.2421934174405838</v>
      </c>
      <c r="AR364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64" s="15" t="str">
        <f>IF(AND([% A.A.]&gt;=5%,SUMPRODUCT(N([Nome]=Tabela3[[#This Row],[Nome]]),[PL])&gt;0,[Rentabilidade s/ PL]&gt;=[Rentabilidade s/ PL Média]),"Sim","Não")</f>
        <v>Sim</v>
      </c>
      <c r="AT364" s="42">
        <f>IF([Cotação]&gt;0,Tabela3[[#This Row],[Lucro]]/Tabela3[[#This Row],[Cotação]],0)</f>
        <v>6.212253198566111E-2</v>
      </c>
      <c r="AU364" s="19">
        <f>((1+Tabela3[[#This Row],[% Yield]])^(1/(3*Tabela3[[#This Row],[Ref]])))^(12)-1</f>
        <v>8.3676102108862782E-2</v>
      </c>
      <c r="AV364" s="14">
        <f>IF([Cotação]&gt;0,($BH$1/Tabela3[[#This Row],[Cotação]]-MOD($BH$1/Tabela3[[#This Row],[Cotação]],100)),)</f>
        <v>0</v>
      </c>
      <c r="AW364" s="17">
        <f>Tabela3[[#This Row],[Ativos]]*[Lucro]</f>
        <v>0</v>
      </c>
      <c r="AX364" s="13">
        <f>SUMPRODUCT(N(Tabela1[Código]=Tabela3[[#This Row],[PAPEL]]),Tabela1[Fechamento])</f>
        <v>0</v>
      </c>
      <c r="AY364" s="55">
        <f>SUMPRODUCT(N(Tabela17[Código]=Tabela3[[#This Row],[PAPEL]]),Tabela17[Fechamento])</f>
        <v>18.559999999999999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t="11.25" customHeight="1">
      <c r="A365" s="3" t="s">
        <v>802</v>
      </c>
      <c r="B365" s="58" t="s">
        <v>803</v>
      </c>
      <c r="C365" s="16" t="str">
        <f>LEFT([PAPEL],LEN([PAPEL])-(LEN([PAPEL])-4))</f>
        <v>PCAR</v>
      </c>
      <c r="D365" s="16">
        <v>4</v>
      </c>
      <c r="E365" s="5">
        <v>6764300000</v>
      </c>
      <c r="F365" s="56">
        <v>99679851</v>
      </c>
      <c r="G365" s="81">
        <v>0.25</v>
      </c>
      <c r="H365" s="87"/>
      <c r="J365" s="18"/>
      <c r="K365" s="16"/>
      <c r="L365" s="87"/>
      <c r="M365" s="54">
        <v>22214075000</v>
      </c>
      <c r="N365" s="54">
        <v>5623474000</v>
      </c>
      <c r="O365" s="54">
        <v>8022610000</v>
      </c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12730885000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0.70095318107199522</v>
      </c>
      <c r="U36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5" s="18">
        <f>IF(Tabela3[[#This Row],[Lucro Líquido]]&gt;0,Tabela3[[#This Row],[Lucro Líquido]]/Tabela3[[#This Row],[Patrimônio Líquido]],0)/Tabela3[[#This Row],[Ref]]*4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5" s="18">
        <f>IF(Tabela3[[#This Row],[Dívida]]&gt;0,Tabela3[[#This Row],[Dívida]]/Tabela3[[#This Row],[Patrimônio Líquido]],0)</f>
        <v>1.3424686207911052</v>
      </c>
      <c r="Y365" s="18">
        <f>SUMPRODUCT(N([Dívida / PL]&gt;0),N(RIGHT([PAPEL],LEN([PAPEL])-(LEN([PAPEL])-1))="3"),[Dívida / PL])/SUMPRODUCT(N([Dívida / PL]&gt;0),N(RIGHT([PAPEL],LEN([PAPEL])-(LEN([PAPEL])-1))="3"))</f>
        <v>2.312588816579864</v>
      </c>
      <c r="Z365" s="7">
        <f>Tabela3[[#This Row],[Capital Social]]*20%</f>
        <v>1352860000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25.53303865472099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A.A.]&gt;=5%,SUMPRODUCT(N([Nome]=Tabela3[[#This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t="11.25" customHeight="1">
      <c r="A366" s="3" t="s">
        <v>802</v>
      </c>
      <c r="B366" s="58" t="s">
        <v>804</v>
      </c>
      <c r="C366" s="16" t="str">
        <f>LEFT([PAPEL],LEN([PAPEL])-(LEN([PAPEL])-4))</f>
        <v>PCAR</v>
      </c>
      <c r="D366" s="16">
        <v>4</v>
      </c>
      <c r="E366" s="5">
        <v>6764300000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>
        <v>22214075000</v>
      </c>
      <c r="N366" s="54">
        <v>5623474000</v>
      </c>
      <c r="O366" s="54">
        <v>8022610000</v>
      </c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12730885000</v>
      </c>
      <c r="S366" s="73">
        <f>Tabela3[[#This Row],[Cotação]]*Tabela3[[#This Row],[Total Ações]]</f>
        <v>25994286264.760002</v>
      </c>
      <c r="T366" s="37">
        <f>IF(Tabela3[[#This Row],[Passivo Circulante]]&gt;0,Tabela3[[#This Row],[Ativo Circulante]]/Tabela3[[#This Row],[Passivo Circulante]],0)</f>
        <v>0.70095318107199522</v>
      </c>
      <c r="U36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6" s="18">
        <f>IF(Tabela3[[#This Row],[Lucro Líquido]]&gt;0,Tabela3[[#This Row],[Lucro Líquido]]/Tabela3[[#This Row],[Patrimônio Líquido]],0)/Tabela3[[#This Row],[Ref]]*4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6" s="18">
        <f>IF(Tabela3[[#This Row],[Dívida]]&gt;0,Tabela3[[#This Row],[Dívida]]/Tabela3[[#This Row],[Patrimônio Líquido]],0)</f>
        <v>1.3424686207911052</v>
      </c>
      <c r="Y366" s="18">
        <f>SUMPRODUCT(N([Dívida / PL]&gt;0),N(RIGHT([PAPEL],LEN([PAPEL])-(LEN([PAPEL])-1))="3"),[Dívida / PL])/SUMPRODUCT(N([Dívida / PL]&gt;0),N(RIGHT([PAPEL],LEN([PAPEL])-(LEN([PAPEL])-1))="3"))</f>
        <v>2.312588816579864</v>
      </c>
      <c r="Z366" s="7">
        <f>Tabela3[[#This Row],[Capital Social]]*20%</f>
        <v>1352860000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25.53303865472099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98.12</v>
      </c>
      <c r="AO366" s="53">
        <f>[Cotação]/[VPA]</f>
        <v>2.741090947746486</v>
      </c>
      <c r="AP366" s="37">
        <f>IF(Tabela3[[#This Row],[Lucro/Ação]]&gt;0,Tabela3[[#This Row],[Cotação]]/(Tabela3[[#This Row],[Lucro/Ação]]/[Ref]*4),0)</f>
        <v>24.697776488021322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1.0248757394831333E-2</v>
      </c>
      <c r="AU366" s="22">
        <f>((1+Tabela3[[#This Row],[% Yield]])^(1/(3*Tabela3[[#This Row],[Ref]])))^(12)-1</f>
        <v>1.0248757394831109E-2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98.12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t="11.25" customHeight="1">
      <c r="A367" s="3" t="s">
        <v>1060</v>
      </c>
      <c r="B367" s="57" t="s">
        <v>1087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1902158050.6599998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7" s="18">
        <f>IF(Tabela3[[#This Row],[Lucro Líquido]]&gt;0,Tabela3[[#This Row],[Lucro Líquido]]/Tabela3[[#This Row],[Patrimônio Líquido]],0)/Tabela3[[#This Row],[Ref]]*4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2.312588816579864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1.42</v>
      </c>
      <c r="AO367" s="53">
        <f>[Cotação]/[VPA]</f>
        <v>0.40440222871744347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600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1.42</v>
      </c>
      <c r="BB367" s="7">
        <f>SUMPRODUCT(N(Tabela17683[Código]=Tabela3[[#This Row],[PAPEL]]),Tabela17683[Fechamento])</f>
        <v>0</v>
      </c>
    </row>
    <row r="368" spans="1:54" ht="11.25" customHeight="1">
      <c r="A368" s="4" t="s">
        <v>26</v>
      </c>
      <c r="B368" s="57" t="s">
        <v>683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8" s="19">
        <f>IF(Tabela3[[#This Row],[Lucro Líquido]]&gt;0,Tabela3[[#This Row],[Lucro Líquido]]/Tabela3[[#This Row],[Patrimônio Líquido]],0)/Tabela3[[#This Row],[Ref]]*4</f>
        <v>2.1298606462605732E-4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2.312588816579864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A.A.]&gt;=5%,SUMPRODUCT(N([Nome]=Tabela3[[#This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 ht="11.25" customHeight="1">
      <c r="A369" s="4" t="s">
        <v>26</v>
      </c>
      <c r="B369" s="57" t="s">
        <v>684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385636842.78000003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9" s="19">
        <f>IF(Tabela3[[#This Row],[Lucro Líquido]]&gt;0,Tabela3[[#This Row],[Lucro Líquido]]/Tabela3[[#This Row],[Patrimônio Líquido]],0)/Tabela3[[#This Row],[Ref]]*4</f>
        <v>2.1298606462605732E-4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2.312588816579864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30.01</v>
      </c>
      <c r="AO369" s="44">
        <f>[Cotação]/[VPA]</f>
        <v>0.7333506564154445</v>
      </c>
      <c r="AP369" s="40">
        <f>IF(Tabela3[[#This Row],[Lucro/Ação]]&gt;0,Tabela3[[#This Row],[Cotação]]/(Tabela3[[#This Row],[Lucro/Ação]]/[Ref]*4),0)</f>
        <v>3443.1860962500004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5.5135311962917839E-5</v>
      </c>
      <c r="AU369" s="42">
        <f>((1+Tabela3[[#This Row],[% Yield]])^(1/(3*Tabela3[[#This Row],[Ref]])))^(12)-1</f>
        <v>7.3514424809850709E-5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30.01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t="11.25" customHeight="1">
      <c r="A370" s="4" t="s">
        <v>237</v>
      </c>
      <c r="B370" s="57" t="s">
        <v>20</v>
      </c>
      <c r="C370" s="14" t="str">
        <f>LEFT([PAPEL],LEN([PAPEL])-(LEN([PAPEL])-4))</f>
        <v>PETR</v>
      </c>
      <c r="D370" s="15">
        <v>4</v>
      </c>
      <c r="E370" s="6">
        <v>205410905000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633173147000</v>
      </c>
      <c r="N370" s="13">
        <v>87479632000</v>
      </c>
      <c r="O370" s="13">
        <v>102049038000</v>
      </c>
      <c r="P370" s="6">
        <v>348139811000</v>
      </c>
      <c r="Q370" s="6">
        <v>23407566000</v>
      </c>
      <c r="R370" s="6">
        <f>IF(Tabela3[[#This Row],[Ativo || Passivo]]&gt;0,Tabela3[[#This Row],[Ativo || Passivo]]-Tabela3[[#This Row],[Patrimônio Líquido]],0)</f>
        <v>285033336000</v>
      </c>
      <c r="S370" s="6">
        <f>Tabela3[[#This Row],[Cotação]]*Tabela3[[#This Row],[Total Ações]]</f>
        <v>166056445918.89999</v>
      </c>
      <c r="T370" s="132">
        <f>IF(Tabela3[[#This Row],[Passivo Circulante]]&gt;0,Tabela3[[#This Row],[Ativo Circulante]]/Tabela3[[#This Row],[Passivo Circulante]],0)</f>
        <v>0.85723132441483674</v>
      </c>
      <c r="U37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0" s="19">
        <f>IF(Tabela3[[#This Row],[Lucro Líquido]]&gt;0,Tabela3[[#This Row],[Lucro Líquido]]/Tabela3[[#This Row],[Patrimônio Líquido]],0)/Tabela3[[#This Row],[Ref]]*4</f>
        <v>6.7236108196772698E-2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0" s="19">
        <f>IF(Tabela3[[#This Row],[Dívida]]&gt;0,Tabela3[[#This Row],[Dívida]]/Tabela3[[#This Row],[Patrimônio Líquido]],0)</f>
        <v>0.81873237990584191</v>
      </c>
      <c r="Y370" s="19">
        <f>SUMPRODUCT(N([Dívida / PL]&gt;0),N(RIGHT([PAPEL],LEN([PAPEL])-(LEN([PAPEL])-1))="3"),[Dívida / PL])/SUMPRODUCT(N([Dívida / PL]&gt;0),N(RIGHT([PAPEL],LEN([PAPEL])-(LEN([PAPEL])-1))="3"))</f>
        <v>2.312588816579864</v>
      </c>
      <c r="Z370" s="6">
        <f>Tabela3[[#This Row],[Capital Social]]*20%</f>
        <v>41082181000</v>
      </c>
      <c r="AA370" s="6">
        <f>IF(([Lucro Líquido]*5%)&gt;[Teto R. Legal],[Teto R. Legal],[Lucro Líquido]*5%)</f>
        <v>1170378300</v>
      </c>
      <c r="AB370" s="6">
        <f>IF([Lucro Líquido]&lt;0,0,[Lucro Líquido]-[Reserva Legal])</f>
        <v>22237187700</v>
      </c>
      <c r="AC370" s="6">
        <f>Tabela3[[#This Row],[Lucro Distribuir]]*[%Div]</f>
        <v>5559296925</v>
      </c>
      <c r="AD370" s="56">
        <f>SUMPRODUCT(N([Nome]=Tabela3[[#This Row],[Nome]]),[Ações])</f>
        <v>13044496930</v>
      </c>
      <c r="AE370" s="6">
        <f>[Capital Social]/[Total Ações]</f>
        <v>15.746939579370961</v>
      </c>
      <c r="AF370" s="78">
        <f>Tabela3[[#This Row],[Lucro Líquido]]/Tabela3[[#This Row],[Total Ações]]</f>
        <v>1.7944399178911072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0" s="6">
        <f>[Div Base]*[Ações]</f>
        <v>1073970749.769186</v>
      </c>
      <c r="AL370" s="6">
        <f>SUMPRODUCT(N([Nome]=Tabela3[[#This Row],[Nome]]),[Div Base]*[Ações])</f>
        <v>5559296925</v>
      </c>
      <c r="AM370" s="6">
        <f>[Patrimônio Líquido]/[Total Ações]</f>
        <v>26.688634515244583</v>
      </c>
      <c r="AN370" s="48">
        <f>MAX(Tabela3[[#This Row],[Cotação 1]:[Cotação 5]])</f>
        <v>12.73</v>
      </c>
      <c r="AO370" s="44">
        <f>[Cotação]/[VPA]</f>
        <v>0.47698206488340972</v>
      </c>
      <c r="AP370" s="40">
        <f>IF(Tabela3[[#This Row],[Lucro/Ação]]&gt;0,Tabela3[[#This Row],[Cotação]]/(Tabela3[[#This Row],[Lucro/Ação]]/[Ref]*4),0)</f>
        <v>7.0941355422815002</v>
      </c>
      <c r="AQ370" s="78">
        <f>[Lucro Distribuir]/[Total Ações]</f>
        <v>1.7047179219965518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0" s="15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1.1335687954129273E-2</v>
      </c>
      <c r="AU370" s="19">
        <f>((1+Tabela3[[#This Row],[% Yield]])^(1/(3*Tabela3[[#This Row],[Ref]])))^(12)-1</f>
        <v>1.1335687954129314E-2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12.73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>
      <c r="A371" s="4" t="s">
        <v>237</v>
      </c>
      <c r="B371" s="57" t="s">
        <v>21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13">
        <f>Tabela3[[#This Row],[Cotação]]*Tabela3[[#This Row],[Total Ações]]</f>
        <v>173491809169</v>
      </c>
      <c r="T371" s="132">
        <f>IF(Tabela3[[#This Row],[Passivo Circulante]]&gt;0,Tabela3[[#This Row],[Ativo Circulante]]/Tabela3[[#This Row],[Passivo Circulante]],0)</f>
        <v>0.85723132441483674</v>
      </c>
      <c r="U37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1" s="19">
        <f>IF(Tabela3[[#This Row],[Lucro Líquido]]&gt;0,Tabela3[[#This Row],[Lucro Líquido]]/Tabela3[[#This Row],[Patrimônio Líquido]],0)/Tabela3[[#This Row],[Ref]]*4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2.312588816579864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8">
        <f>Tabela3[[#This Row],[Lucro Líquido]]/Tabela3[[#This Row],[Total Ações]]</f>
        <v>1.7944399178911072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1" s="6">
        <f>[Div Base]*[Ações]</f>
        <v>4485326175.230814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13.3</v>
      </c>
      <c r="AO371" s="44">
        <f>[Cotação]/[VPA]</f>
        <v>0.49833947077371166</v>
      </c>
      <c r="AP371" s="40">
        <f>IF(Tabela3[[#This Row],[Lucro/Ação]]&gt;0,Tabela3[[#This Row],[Cotação]]/(Tabela3[[#This Row],[Lucro/Ação]]/[Ref]*4),0)</f>
        <v>7.4117834023836568</v>
      </c>
      <c r="AQ371" s="78">
        <f>[Lucro Distribuir]/[Total Ações]</f>
        <v>1.7047179219965518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6.0199927477995296E-2</v>
      </c>
      <c r="AU371" s="19">
        <f>((1+Tabela3[[#This Row],[% Yield]])^(1/(3*Tabela3[[#This Row],[Ref]])))^(12)-1</f>
        <v>6.0199927477995185E-2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13.3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t="11.25" customHeight="1">
      <c r="A372" s="3" t="s">
        <v>792</v>
      </c>
      <c r="B372" s="58" t="s">
        <v>800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590444302.98000002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2" s="18">
        <f>IF(Tabela3[[#This Row],[Lucro Líquido]]&gt;0,Tabela3[[#This Row],[Lucro Líquido]]/Tabela3[[#This Row],[Patrimônio Líquido]],0)/Tabela3[[#This Row],[Ref]]*4</f>
        <v>5.754712195211939E-2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2.312588816579864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17.78</v>
      </c>
      <c r="AO372" s="53">
        <f>[Cotação]/[VPA]</f>
        <v>1.0211483303471369</v>
      </c>
      <c r="AP372" s="37">
        <f>IF(Tabela3[[#This Row],[Lucro/Ação]]&gt;0,Tabela3[[#This Row],[Cotação]]/(Tabela3[[#This Row],[Lucro/Ação]]/[Ref]*4),0)</f>
        <v>17.744559514144896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A.A.]&gt;=5%,SUMPRODUCT(N([Nome]=Tabela3[[#This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1.003828806559044E-2</v>
      </c>
      <c r="AU372" s="22">
        <f>((1+Tabela3[[#This Row],[% Yield]])^(1/(3*Tabela3[[#This Row],[Ref]])))^(12)-1</f>
        <v>1.340672706032775E-2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17.78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t="11.25" customHeight="1">
      <c r="A373" s="4" t="s">
        <v>14</v>
      </c>
      <c r="B373" s="57" t="s">
        <v>419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>
        <v>10593056000</v>
      </c>
      <c r="N373" s="55">
        <v>6775528000</v>
      </c>
      <c r="O373" s="55">
        <v>6029282000</v>
      </c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9320648000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1.1237702930465021</v>
      </c>
      <c r="U37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3" s="19">
        <f>IF(Tabela3[[#This Row],[Lucro Líquido]]&gt;0,Tabela3[[#This Row],[Lucro Líquido]]/Tabela3[[#This Row],[Patrimônio Líquido]],0)/Tabela3[[#This Row],[Ref]]*4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3" s="19">
        <f>IF(Tabela3[[#This Row],[Dívida]]&gt;0,Tabela3[[#This Row],[Dívida]]/Tabela3[[#This Row],[Patrimônio Líquido]],0)</f>
        <v>7.325203865426813</v>
      </c>
      <c r="Y373" s="19">
        <f>SUMPRODUCT(N([Dívida / PL]&gt;0),N(RIGHT([PAPEL],LEN([PAPEL])-(LEN([PAPEL])-1))="3"),[Dívida / PL])/SUMPRODUCT(N([Dívida / PL]&gt;0),N(RIGHT([PAPEL],LEN([PAPEL])-(LEN([PAPEL])-1))="3"))</f>
        <v>2.312588816579864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A.A.]&gt;=5%,SUMPRODUCT(N([Nome]=Tabela3[[#This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t="11.25" customHeight="1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>
        <v>10593056000</v>
      </c>
      <c r="N374" s="55">
        <v>6775528000</v>
      </c>
      <c r="O374" s="55">
        <v>6029282000</v>
      </c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9320648000</v>
      </c>
      <c r="S374" s="6">
        <f>Tabela3[[#This Row],[Cotação]]*Tabela3[[#This Row],[Total Ações]]</f>
        <v>927095670</v>
      </c>
      <c r="T374" s="132">
        <f>IF(Tabela3[[#This Row],[Passivo Circulante]]&gt;0,Tabela3[[#This Row],[Ativo Circulante]]/Tabela3[[#This Row],[Passivo Circulante]],0)</f>
        <v>1.1237702930465021</v>
      </c>
      <c r="U37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4" s="19">
        <f>IF(Tabela3[[#This Row],[Lucro Líquido]]&gt;0,Tabela3[[#This Row],[Lucro Líquido]]/Tabela3[[#This Row],[Patrimônio Líquido]],0)/Tabela3[[#This Row],[Ref]]*4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4" s="19">
        <f>IF(Tabela3[[#This Row],[Dívida]]&gt;0,Tabela3[[#This Row],[Dívida]]/Tabela3[[#This Row],[Patrimônio Líquido]],0)</f>
        <v>7.325203865426813</v>
      </c>
      <c r="Y374" s="19">
        <f>SUMPRODUCT(N([Dívida / PL]&gt;0),N(RIGHT([PAPEL],LEN([PAPEL])-(LEN([PAPEL])-1))="3"),[Dívida / PL])/SUMPRODUCT(N([Dívida / PL]&gt;0),N(RIGHT([PAPEL],LEN([PAPEL])-(LEN([PAPEL])-1))="3"))</f>
        <v>2.312588816579864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7.5</v>
      </c>
      <c r="AO374" s="44">
        <f>[Cotação]/[VPA]</f>
        <v>0.72861509044268824</v>
      </c>
      <c r="AP374" s="40">
        <f>IF(Tabela3[[#This Row],[Lucro/Ação]]&gt;0,Tabela3[[#This Row],[Cotação]]/(Tabela3[[#This Row],[Lucro/Ação]]/[Ref]*4),0)</f>
        <v>5.737120163865443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4.1397076096795916E-2</v>
      </c>
      <c r="AU374" s="19">
        <f>((1+Tabela3[[#This Row],[% Yield]])^(1/(3*Tabela3[[#This Row],[Ref]])))^(12)-1</f>
        <v>4.1397076096797658E-2</v>
      </c>
      <c r="AV374" s="14">
        <f>IF([Cotação]&gt;0,($BH$1/Tabela3[[#This Row],[Cotação]]-MOD($BH$1/Tabela3[[#This Row],[Cotação]],100)),)</f>
        <v>100</v>
      </c>
      <c r="AW374" s="17">
        <f>Tabela3[[#This Row],[Ativos]]*[Lucro]</f>
        <v>31.047807072596939</v>
      </c>
      <c r="AX374" s="5">
        <f>SUMPRODUCT(N(Tabela1[Código]=Tabela3[[#This Row],[PAPEL]]),Tabela1[Fechamento])</f>
        <v>7.5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t="11.25" customHeight="1">
      <c r="A375" s="3" t="s">
        <v>1320</v>
      </c>
      <c r="B375" s="57" t="s">
        <v>1294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104067556.81999999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5" s="18">
        <f>IF(Tabela3[[#This Row],[Lucro Líquido]]&gt;0,Tabela3[[#This Row],[Lucro Líquido]]/Tabela3[[#This Row],[Patrimônio Líquido]],0)/Tabela3[[#This Row],[Ref]]*4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2.312588816579864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0.43</v>
      </c>
      <c r="AO375" s="53">
        <f>[Cotação]/[VPA]</f>
        <v>0.28278766329896793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2000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0.43</v>
      </c>
    </row>
    <row r="376" spans="1:54" ht="11.25" customHeight="1">
      <c r="A376" s="4" t="s">
        <v>622</v>
      </c>
      <c r="B376" s="57" t="s">
        <v>620</v>
      </c>
      <c r="C376" s="15" t="str">
        <f>LEFT([PAPEL],LEN([PAPEL])-(LEN([PAPEL])-4))</f>
        <v>PMAM</v>
      </c>
      <c r="D376" s="15">
        <v>4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>
        <v>4474686000</v>
      </c>
      <c r="N376" s="55">
        <v>2649326000</v>
      </c>
      <c r="O376" s="55">
        <v>2311432000</v>
      </c>
      <c r="P376" s="92">
        <v>1377441000</v>
      </c>
      <c r="Q376" s="93">
        <v>5905000</v>
      </c>
      <c r="R376" s="93">
        <f>IF(Tabela3[[#This Row],[Ativo || Passivo]]&gt;0,Tabela3[[#This Row],[Ativo || Passivo]]-Tabela3[[#This Row],[Patrimônio Líquido]],0)</f>
        <v>3097245000</v>
      </c>
      <c r="S376" s="93">
        <f>Tabela3[[#This Row],[Cotação]]*Tabela3[[#This Row],[Total Ações]]</f>
        <v>1072434525.12</v>
      </c>
      <c r="T376" s="40">
        <f>IF(Tabela3[[#This Row],[Passivo Circulante]]&gt;0,Tabela3[[#This Row],[Ativo Circulante]]/Tabela3[[#This Row],[Passivo Circulante]],0)</f>
        <v>1.1461838375517861</v>
      </c>
      <c r="U37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6" s="19">
        <f>IF(Tabela3[[#This Row],[Lucro Líquido]]&gt;0,Tabela3[[#This Row],[Lucro Líquido]]/Tabela3[[#This Row],[Patrimônio Líquido]],0)/Tabela3[[#This Row],[Ref]]*4</f>
        <v>4.2869349757993268E-3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6" s="19">
        <f>IF(Tabela3[[#This Row],[Dívida]]&gt;0,Tabela3[[#This Row],[Dívida]]/Tabela3[[#This Row],[Patrimônio Líquido]],0)</f>
        <v>2.2485500286400653</v>
      </c>
      <c r="Y376" s="19">
        <f>SUMPRODUCT(N([Dívida / PL]&gt;0),N(RIGHT([PAPEL],LEN([PAPEL])-(LEN([PAPEL])-1))="3"),[Dívida / PL])/SUMPRODUCT(N([Dívida / PL]&gt;0),N(RIGHT([PAPEL],LEN([PAPEL])-(LEN([PAPEL])-1))="3"))</f>
        <v>2.312588816579864</v>
      </c>
      <c r="Z376" s="13">
        <f>Tabela3[[#This Row],[Capital Social]]*20%</f>
        <v>276598093.69600004</v>
      </c>
      <c r="AA376" s="13">
        <f>IF(([Lucro Líquido]*5%)&gt;[Teto R. Legal],[Teto R. Legal],[Lucro Líquido]*5%)</f>
        <v>295250</v>
      </c>
      <c r="AB376" s="13">
        <f>IF([Lucro Líquido]&lt;0,0,[Lucro Líquido]-[Reserva Legal])</f>
        <v>5609750</v>
      </c>
      <c r="AC376" s="13">
        <f>Tabela3[[#This Row],[Lucro Distribuir]]*[%Div]</f>
        <v>1402437.5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1.8500709866441416E-2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6" s="13">
        <f>[Div Base]*[Ações]</f>
        <v>1402437.5</v>
      </c>
      <c r="AL376" s="13">
        <f>SUMPRODUCT(N([Nome]=Tabela3[[#This Row],[Nome]]),[Div Base]*[Ações])</f>
        <v>1402437.5</v>
      </c>
      <c r="AM376" s="6">
        <f>[Patrimônio Líquido]/[Total Ações]</f>
        <v>4.3156030989231047</v>
      </c>
      <c r="AN376" s="48">
        <f>MAX(Tabela3[[#This Row],[Cotação 1]:[Cotação 5]])</f>
        <v>3.36</v>
      </c>
      <c r="AO376" s="44">
        <f>[Cotação]/[VPA]</f>
        <v>0.77857020744990157</v>
      </c>
      <c r="AP376" s="40">
        <f>IF(Tabela3[[#This Row],[Lucro/Ação]]&gt;0,Tabela3[[#This Row],[Cotação]]/(Tabela3[[#This Row],[Lucro/Ação]]/[Ref]*4),0)</f>
        <v>181.61465285690093</v>
      </c>
      <c r="AQ376" s="78">
        <f>[Lucro Distribuir]/[Total Ações]</f>
        <v>1.7575674373119347E-2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6" s="14" t="str">
        <f>IF(AND([% A.A.]&gt;=5%,SUMPRODUCT(N([Nome]=Tabela3[[#This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1.3077138670475705E-3</v>
      </c>
      <c r="AU376" s="42">
        <f>((1+Tabela3[[#This Row],[% Yield]])^(1/(3*Tabela3[[#This Row],[Ref]])))^(12)-1</f>
        <v>1.307713867047644E-3</v>
      </c>
      <c r="AV376" s="14">
        <f>IF([Cotação]&gt;0,($BH$1/Tabela3[[#This Row],[Cotação]]-MOD($BH$1/Tabela3[[#This Row],[Cotação]],100)),)</f>
        <v>200</v>
      </c>
      <c r="AW376" s="17">
        <f>Tabela3[[#This Row],[Ativos]]*[Lucro]</f>
        <v>0.87878371865596738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3.36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t="11.25" customHeight="1">
      <c r="A377" s="3" t="s">
        <v>792</v>
      </c>
      <c r="B377" s="58" t="s">
        <v>796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820470384.25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7" s="18">
        <f>IF(Tabela3[[#This Row],[Lucro Líquido]]&gt;0,Tabela3[[#This Row],[Lucro Líquido]]/Tabela3[[#This Row],[Patrimônio Líquido]],0)/Tabela3[[#This Row],[Ref]]*4</f>
        <v>0.21080392353142544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2.312588816579864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179.59</v>
      </c>
      <c r="AO377" s="53">
        <f>[Cotação]/[VPA]</f>
        <v>3.0418999649640557</v>
      </c>
      <c r="AP377" s="37">
        <f>IF(Tabela3[[#This Row],[Lucro/Ação]]&gt;0,Tabela3[[#This Row],[Cotação]]/(Tabela3[[#This Row],[Lucro/Ação]]/[Ref]*4),0)</f>
        <v>14.429996909002437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A.A.]&gt;=5%,SUMPRODUCT(N([Nome]=Tabela3[[#This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1.1960006298005912E-2</v>
      </c>
      <c r="AU377" s="22">
        <f>((1+Tabela3[[#This Row],[% Yield]])^(1/(3*Tabela3[[#This Row],[Ref]])))^(12)-1</f>
        <v>1.5978378055074405E-2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179.59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t="11.25" customHeight="1">
      <c r="A378" s="3" t="s">
        <v>792</v>
      </c>
      <c r="B378" s="58" t="s">
        <v>797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753814875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8" s="18">
        <f>IF(Tabela3[[#This Row],[Lucro Líquido]]&gt;0,Tabela3[[#This Row],[Lucro Líquido]]/Tabela3[[#This Row],[Patrimônio Líquido]],0)/Tabela3[[#This Row],[Ref]]*4</f>
        <v>0.21080392353142544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2.312588816579864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165</v>
      </c>
      <c r="AO378" s="53">
        <f>[Cotação]/[VPA]</f>
        <v>2.7947741757284326</v>
      </c>
      <c r="AP378" s="37">
        <f>IF(Tabela3[[#This Row],[Lucro/Ação]]&gt;0,Tabela3[[#This Row],[Cotação]]/(Tabela3[[#This Row],[Lucro/Ação]]/[Ref]*4),0)</f>
        <v>13.257695250211048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1.4319316893341844E-2</v>
      </c>
      <c r="AU378" s="22">
        <f>((1+Tabela3[[#This Row],[% Yield]])^(1/(3*Tabela3[[#This Row],[Ref]])))^(12)-1</f>
        <v>1.9137843466433102E-2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165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t="11.25" customHeight="1">
      <c r="A379" s="3" t="s">
        <v>1320</v>
      </c>
      <c r="B379" s="57" t="s">
        <v>1290</v>
      </c>
      <c r="C379" s="16" t="str">
        <f>LEFT([PAPEL],LEN([PAPEL])-(LEN([PAPEL])-4))</f>
        <v>POMO</v>
      </c>
      <c r="D379" s="16">
        <v>4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>
        <v>3089186000</v>
      </c>
      <c r="N379" s="54">
        <v>1634953000</v>
      </c>
      <c r="O379" s="54">
        <v>563852000</v>
      </c>
      <c r="P379" s="91">
        <v>1515896000</v>
      </c>
      <c r="Q379" s="73">
        <v>288709000</v>
      </c>
      <c r="R379" s="73">
        <f>IF(Tabela3[[#This Row],[Ativo || Passivo]]&gt;0,Tabela3[[#This Row],[Ativo || Passivo]]-Tabela3[[#This Row],[Patrimônio Líquido]],0)</f>
        <v>1573290000</v>
      </c>
      <c r="S379" s="73">
        <f>Tabela3[[#This Row],[Cotação]]*Tabela3[[#This Row],[Total Ações]]</f>
        <v>4018112376.3200002</v>
      </c>
      <c r="T379" s="37">
        <f>IF(Tabela3[[#This Row],[Passivo Circulante]]&gt;0,Tabela3[[#This Row],[Ativo Circulante]]/Tabela3[[#This Row],[Passivo Circulante]],0)</f>
        <v>2.8996137284251895</v>
      </c>
      <c r="U37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9" s="18">
        <f>IF(Tabela3[[#This Row],[Lucro Líquido]]&gt;0,Tabela3[[#This Row],[Lucro Líquido]]/Tabela3[[#This Row],[Patrimônio Líquido]],0)/Tabela3[[#This Row],[Ref]]*4</f>
        <v>0.19045435834648286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79" s="18">
        <f>IF(Tabela3[[#This Row],[Dívida]]&gt;0,Tabela3[[#This Row],[Dívida]]/Tabela3[[#This Row],[Patrimônio Líquido]],0)</f>
        <v>1.0378614364046082</v>
      </c>
      <c r="Y379" s="18">
        <f>SUMPRODUCT(N([Dívida / PL]&gt;0),N(RIGHT([PAPEL],LEN([PAPEL])-(LEN([PAPEL])-1))="3"),[Dívida / PL])/SUMPRODUCT(N([Dívida / PL]&gt;0),N(RIGHT([PAPEL],LEN([PAPEL])-(LEN([PAPEL])-1))="3"))</f>
        <v>2.312588816579864</v>
      </c>
      <c r="Z379" s="7">
        <f>Tabela3[[#This Row],[Capital Social]]*20%</f>
        <v>140000000</v>
      </c>
      <c r="AA379" s="47">
        <f>IF(([Lucro Líquido]*5%)&gt;[Teto R. Legal],[Teto R. Legal],[Lucro Líquido]*5%)</f>
        <v>14435450</v>
      </c>
      <c r="AB379" s="47">
        <f>IF([Lucro Líquido]&lt;0,0,[Lucro Líquido]-[Reserva Legal])</f>
        <v>274273550</v>
      </c>
      <c r="AC379" s="47">
        <f>Tabela3[[#This Row],[Lucro Distribuir]]*[%Div]</f>
        <v>68568387.5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0.32189650235332123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79" s="7">
        <f>[Div Base]*[Ações]</f>
        <v>26117431.375519641</v>
      </c>
      <c r="AL379" s="120">
        <f>SUMPRODUCT(N([Nome]=Tabela3[[#This Row],[Nome]]),[Div Base]*[Ações])</f>
        <v>68568387.5</v>
      </c>
      <c r="AM379" s="5">
        <f>[Patrimônio Líquido]/[Total Ações]</f>
        <v>1.6901503601598502</v>
      </c>
      <c r="AN379" s="52">
        <f>MAX(Tabela3[[#This Row],[Cotação 1]:[Cotação 5]])</f>
        <v>4.4800000000000004</v>
      </c>
      <c r="AO379" s="53">
        <f>[Cotação]/[VPA]</f>
        <v>2.6506517441302044</v>
      </c>
      <c r="AP379" s="37">
        <f>IF(Tabela3[[#This Row],[Lucro/Ação]]&gt;0,Tabela3[[#This Row],[Cotação]]/(Tabela3[[#This Row],[Lucro/Ação]]/[Ref]*4),0)</f>
        <v>13.917516864108844</v>
      </c>
      <c r="AQ379" s="85">
        <f>[Lucro Distribuir]/[Total Ações]</f>
        <v>0.30580167723565516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1.7064825738596825E-2</v>
      </c>
      <c r="AU379" s="22">
        <f>((1+Tabela3[[#This Row],[% Yield]])^(1/(3*Tabela3[[#This Row],[Ref]])))^(12)-1</f>
        <v>1.706482573859569E-2</v>
      </c>
      <c r="AV379" s="10">
        <f>IF([Cotação]&gt;0,($BH$1/Tabela3[[#This Row],[Cotação]]-MOD($BH$1/Tabela3[[#This Row],[Cotação]],100)),)</f>
        <v>200</v>
      </c>
      <c r="AW379" s="7">
        <f>Tabela3[[#This Row],[Ativos]]*[Lucro]</f>
        <v>15.290083861782758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4.4800000000000004</v>
      </c>
    </row>
    <row r="380" spans="1:54" ht="11.25" customHeight="1">
      <c r="A380" s="3" t="s">
        <v>1320</v>
      </c>
      <c r="B380" s="57" t="s">
        <v>1291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4179554391.4400001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0" s="18">
        <f>IF(Tabela3[[#This Row],[Lucro Líquido]]&gt;0,Tabela3[[#This Row],[Lucro Líquido]]/Tabela3[[#This Row],[Patrimônio Líquido]],0)/Tabela3[[#This Row],[Ref]]*4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2.312588816579864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42450956.124480359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4.66</v>
      </c>
      <c r="AO380" s="53">
        <f>[Cotação]/[VPA]</f>
        <v>2.7571511445640073</v>
      </c>
      <c r="AP380" s="37">
        <f>IF(Tabela3[[#This Row],[Lucro/Ação]]&gt;0,Tabela3[[#This Row],[Cotação]]/(Tabela3[[#This Row],[Lucro/Ação]]/[Ref]*4),0)</f>
        <v>14.476702809541788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1.6405669379595235E-2</v>
      </c>
      <c r="AU380" s="22">
        <f>((1+Tabela3[[#This Row],[% Yield]])^(1/(3*Tabela3[[#This Row],[Ref]])))^(12)-1</f>
        <v>1.6405669379596866E-2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4.66</v>
      </c>
    </row>
    <row r="381" spans="1:54" ht="11.25" customHeight="1">
      <c r="A381" s="4" t="s">
        <v>573</v>
      </c>
      <c r="B381" s="57" t="s">
        <v>576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205452000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1" s="19">
        <f>IF(Tabela3[[#This Row],[Lucro Líquido]]&gt;0,Tabela3[[#This Row],[Lucro Líquido]]/Tabela3[[#This Row],[Patrimônio Líquido]],0)/Tabela3[[#This Row],[Ref]]*4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2.312588816579864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2.34</v>
      </c>
      <c r="AO381" s="44">
        <f>[Cotação]/[VPA]</f>
        <v>0.31817111848951879</v>
      </c>
      <c r="AP381" s="40">
        <f>IF(Tabela3[[#This Row],[Lucro/Ação]]&gt;0,Tabela3[[#This Row],[Cotação]]/(Tabela3[[#This Row],[Lucro/Ação]]/[Ref]*4),0)</f>
        <v>13.178447722899294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A.A.]&gt;=5%,SUMPRODUCT(N([Nome]=Tabela3[[#This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1.8021849385744602E-2</v>
      </c>
      <c r="AU381" s="42">
        <f>((1+Tabela3[[#This Row],[% Yield]])^(1/(3*Tabela3[[#This Row],[Ref]])))^(12)-1</f>
        <v>1.8021849385744471E-2</v>
      </c>
      <c r="AV381" s="14">
        <f>IF([Cotação]&gt;0,($BH$1/Tabela3[[#This Row],[Cotação]]-MOD($BH$1/Tabela3[[#This Row],[Cotação]],100)),)</f>
        <v>300</v>
      </c>
      <c r="AW381" s="17">
        <f>Tabela3[[#This Row],[Ativos]]*[Lucro]</f>
        <v>12.65133826879271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2.34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 ht="11.25" customHeight="1">
      <c r="A382" s="4" t="s">
        <v>14</v>
      </c>
      <c r="B382" s="57" t="s">
        <v>559</v>
      </c>
      <c r="C382" s="14" t="str">
        <f>LEFT([PAPEL],LEN([PAPEL])-(LEN([PAPEL])-4))</f>
        <v>PRBC</v>
      </c>
      <c r="D382" s="15">
        <v>4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>
        <v>4391945000</v>
      </c>
      <c r="N382" s="55">
        <v>1923758000</v>
      </c>
      <c r="O382" s="55">
        <v>1828208000</v>
      </c>
      <c r="P382" s="6">
        <v>1285976000</v>
      </c>
      <c r="Q382" s="6">
        <v>132546000</v>
      </c>
      <c r="R382" s="6">
        <f>IF(Tabela3[[#This Row],[Ativo || Passivo]]&gt;0,Tabela3[[#This Row],[Ativo || Passivo]]-Tabela3[[#This Row],[Patrimônio Líquido]],0)</f>
        <v>3105969000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1.0522642937783884</v>
      </c>
      <c r="U38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2" s="19">
        <f>IF(Tabela3[[#This Row],[Lucro Líquido]]&gt;0,Tabela3[[#This Row],[Lucro Líquido]]/Tabela3[[#This Row],[Patrimônio Líquido]],0)/Tabela3[[#This Row],[Ref]]*4</f>
        <v>0.10307035279040977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2" s="19">
        <f>IF(Tabela3[[#This Row],[Dívida]]&gt;0,Tabela3[[#This Row],[Dívida]]/Tabela3[[#This Row],[Patrimônio Líquido]],0)</f>
        <v>2.4152620266630169</v>
      </c>
      <c r="Y382" s="19">
        <f>SUMPRODUCT(N([Dívida / PL]&gt;0),N(RIGHT([PAPEL],LEN([PAPEL])-(LEN([PAPEL])-1))="3"),[Dívida / PL])/SUMPRODUCT(N([Dívida / PL]&gt;0),N(RIGHT([PAPEL],LEN([PAPEL])-(LEN([PAPEL])-1))="3"))</f>
        <v>2.312588816579864</v>
      </c>
      <c r="Z382" s="6">
        <f>Tabela3[[#This Row],[Capital Social]]*20%</f>
        <v>152773329.59999999</v>
      </c>
      <c r="AA382" s="6">
        <f>IF(([Lucro Líquido]*5%)&gt;[Teto R. Legal],[Teto R. Legal],[Lucro Líquido]*5%)</f>
        <v>6627300</v>
      </c>
      <c r="AB382" s="6">
        <f>IF([Lucro Líquido]&lt;0,0,[Lucro Líquido]-[Reserva Legal])</f>
        <v>125918700</v>
      </c>
      <c r="AC382" s="6">
        <f>Tabela3[[#This Row],[Lucro Distribuir]]*[%Div]</f>
        <v>31479675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1.5184569052018508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2" s="6">
        <f>[Div Base]*[Ações]</f>
        <v>20456927.482344698</v>
      </c>
      <c r="AL382" s="6">
        <f>SUMPRODUCT(N([Nome]=Tabela3[[#This Row],[Nome]]),[Div Base]*[Ações])</f>
        <v>29033973.268173128</v>
      </c>
      <c r="AM382" s="6">
        <f>[Patrimônio Líquido]/[Total Ações]</f>
        <v>14.732237390218152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1.4425340599417582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2" s="15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t="11.25" customHeight="1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4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917417185.31999993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3" s="19">
        <f>IF(Tabela3[[#This Row],[Lucro Líquido]]&gt;0,Tabela3[[#This Row],[Lucro Líquido]]/Tabela3[[#This Row],[Patrimônio Líquido]],0)/Tabela3[[#This Row],[Ref]]*4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2.312588816579864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29033973.268173128</v>
      </c>
      <c r="AM383" s="6">
        <f>[Patrimônio Líquido]/[Total Ações]</f>
        <v>14.660694202396675</v>
      </c>
      <c r="AN383" s="48">
        <f>MAX(Tabela3[[#This Row],[Cotação 1]:[Cotação 5]])</f>
        <v>10.51</v>
      </c>
      <c r="AO383" s="44">
        <f>[Cotação]/[VPA]</f>
        <v>0.71688283343921499</v>
      </c>
      <c r="AP383" s="40">
        <f>IF(Tabela3[[#This Row],[Lucro/Ação]]&gt;0,Tabela3[[#This Row],[Cotação]]/(Tabela3[[#This Row],[Lucro/Ação]]/[Ref]*4),0)</f>
        <v>8.8951315756711935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2.6699998530609607E-2</v>
      </c>
      <c r="AU383" s="19">
        <f>((1+Tabela3[[#This Row],[% Yield]])^(1/(3*Tabela3[[#This Row],[Ref]])))^(12)-1</f>
        <v>2.6699998530607782E-2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10.51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t="11.25" customHeight="1">
      <c r="A384" s="4" t="s">
        <v>315</v>
      </c>
      <c r="B384" s="57" t="s">
        <v>316</v>
      </c>
      <c r="C384" s="82" t="str">
        <f>LEFT([PAPEL],LEN([PAPEL])-(LEN([PAPEL])-4))</f>
        <v>PRVI</v>
      </c>
      <c r="D384" s="15">
        <v>4</v>
      </c>
      <c r="E384" s="6">
        <v>409003000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>
        <v>877511000</v>
      </c>
      <c r="N384" s="55">
        <v>284358000</v>
      </c>
      <c r="O384" s="55">
        <v>65626000</v>
      </c>
      <c r="P384" s="6">
        <v>665550000</v>
      </c>
      <c r="Q384" s="6">
        <v>26920000</v>
      </c>
      <c r="R384" s="6">
        <f>IF(Tabela3[[#This Row],[Ativo || Passivo]]&gt;0,Tabela3[[#This Row],[Ativo || Passivo]]-Tabela3[[#This Row],[Patrimônio Líquido]],0)</f>
        <v>211961000</v>
      </c>
      <c r="S384" s="6">
        <f>Tabela3[[#This Row],[Cotação]]*Tabela3[[#This Row],[Total Ações]]</f>
        <v>636326999.39999998</v>
      </c>
      <c r="T384" s="132">
        <f>IF(Tabela3[[#This Row],[Passivo Circulante]]&gt;0,Tabela3[[#This Row],[Ativo Circulante]]/Tabela3[[#This Row],[Passivo Circulante]],0)</f>
        <v>4.3330082589217689</v>
      </c>
      <c r="U38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4" s="19">
        <f>IF(Tabela3[[#This Row],[Lucro Líquido]]&gt;0,Tabela3[[#This Row],[Lucro Líquido]]/Tabela3[[#This Row],[Patrimônio Líquido]],0)/Tabela3[[#This Row],[Ref]]*4</f>
        <v>4.0447749981218542E-2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4" s="19">
        <f>IF(Tabela3[[#This Row],[Dívida]]&gt;0,Tabela3[[#This Row],[Dívida]]/Tabela3[[#This Row],[Patrimônio Líquido]],0)</f>
        <v>0.31847494553376904</v>
      </c>
      <c r="Y384" s="19">
        <f>SUMPRODUCT(N([Dívida / PL]&gt;0),N(RIGHT([PAPEL],LEN([PAPEL])-(LEN([PAPEL])-1))="3"),[Dívida / PL])/SUMPRODUCT(N([Dívida / PL]&gt;0),N(RIGHT([PAPEL],LEN([PAPEL])-(LEN([PAPEL])-1))="3"))</f>
        <v>2.312588816579864</v>
      </c>
      <c r="Z384" s="6">
        <f>Tabela3[[#This Row],[Capital Social]]*20%</f>
        <v>81800600</v>
      </c>
      <c r="AA384" s="6">
        <f>IF(([Lucro Líquido]*5%)&gt;[Teto R. Legal],[Teto R. Legal],[Lucro Líquido]*5%)</f>
        <v>1346000</v>
      </c>
      <c r="AB384" s="6">
        <f>IF([Lucro Líquido]&lt;0,0,[Lucro Líquido]-[Reserva Legal])</f>
        <v>25574000</v>
      </c>
      <c r="AC384" s="6">
        <f>Tabela3[[#This Row],[Lucro Distribuir]]*[%Div]</f>
        <v>6393500</v>
      </c>
      <c r="AD384" s="56">
        <f>SUMPRODUCT(N([Nome]=Tabela3[[#This Row],[Nome]]),[Ações])</f>
        <v>80041132</v>
      </c>
      <c r="AE384" s="6">
        <f>[Capital Social]/[Total Ações]</f>
        <v>5.1099102396502838</v>
      </c>
      <c r="AF384" s="78">
        <f>Tabela3[[#This Row],[Lucro Líquido]]/Tabela3[[#This Row],[Total Ações]]</f>
        <v>0.33632707743313778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4" s="6">
        <f>[Div Base]*[Ações]</f>
        <v>6393500</v>
      </c>
      <c r="AL384" s="6">
        <f>SUMPRODUCT(N([Nome]=Tabela3[[#This Row],[Nome]]),[Div Base]*[Ações])</f>
        <v>6393500</v>
      </c>
      <c r="AM384" s="6">
        <f>[Patrimônio Líquido]/[Total Ações]</f>
        <v>8.3150997914422291</v>
      </c>
      <c r="AN384" s="48">
        <f>MAX(Tabela3[[#This Row],[Cotação 1]:[Cotação 5]])</f>
        <v>7.95</v>
      </c>
      <c r="AO384" s="44">
        <f>[Cotação]/[VPA]</f>
        <v>0.95609195312147854</v>
      </c>
      <c r="AP384" s="40">
        <f>IF(Tabela3[[#This Row],[Lucro/Ação]]&gt;0,Tabela3[[#This Row],[Cotação]]/(Tabela3[[#This Row],[Lucro/Ação]]/[Ref]*4),0)</f>
        <v>23.63770428677563</v>
      </c>
      <c r="AQ384" s="78">
        <f>[Lucro Distribuir]/[Total Ações]</f>
        <v>0.31951072356148086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1.0047507030235247E-2</v>
      </c>
      <c r="AU384" s="19">
        <f>((1+Tabela3[[#This Row],[% Yield]])^(1/(3*Tabela3[[#This Row],[Ref]])))^(12)-1</f>
        <v>1.004750703023638E-2</v>
      </c>
      <c r="AV384" s="14">
        <f>IF([Cotação]&gt;0,($BH$1/Tabela3[[#This Row],[Cotação]]-MOD($BH$1/Tabela3[[#This Row],[Cotação]],100)),)</f>
        <v>100</v>
      </c>
      <c r="AW384" s="17">
        <f>Tabela3[[#This Row],[Ativos]]*[Lucro]</f>
        <v>7.9877680890370213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7.95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t="11.25" customHeight="1">
      <c r="A385" s="4" t="s">
        <v>26</v>
      </c>
      <c r="B385" s="57" t="s">
        <v>226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10574915011.300001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5" s="19">
        <f>IF(Tabela3[[#This Row],[Lucro Líquido]]&gt;0,Tabela3[[#This Row],[Lucro Líquido]]/Tabela3[[#This Row],[Patrimônio Líquido]],0)/Tabela3[[#This Row],[Ref]]*4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2.312588816579864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32.71</v>
      </c>
      <c r="AO385" s="44">
        <f>[Cotação]/[VPA]</f>
        <v>1.7956567022002958</v>
      </c>
      <c r="AP385" s="40">
        <f>IF(Tabela3[[#This Row],[Lucro/Ação]]&gt;0,Tabela3[[#This Row],[Cotação]]/(Tabela3[[#This Row],[Lucro/Ação]]/[Ref]*4),0)</f>
        <v>7.5255211590178535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3.1559276092846152E-2</v>
      </c>
      <c r="AU385" s="19">
        <f>((1+Tabela3[[#This Row],[% Yield]])^(1/(3*Tabela3[[#This Row],[Ref]])))^(12)-1</f>
        <v>3.1559276092846034E-2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32.71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t="11.25" customHeight="1">
      <c r="A386" s="4" t="s">
        <v>331</v>
      </c>
      <c r="B386" s="57" t="s">
        <v>1150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675787927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6" s="18">
        <f>IF(Tabela3[[#This Row],[Lucro Líquido]]&gt;0,Tabela3[[#This Row],[Lucro Líquido]]/Tabela3[[#This Row],[Patrimônio Líquido]],0)/Tabela3[[#This Row],[Ref]]*4</f>
        <v>0.39939908301629107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2.312588816579864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4.25</v>
      </c>
      <c r="AO386" s="53">
        <f>[Cotação]/[VPA]</f>
        <v>3.9554458706467659</v>
      </c>
      <c r="AP386" s="37">
        <f>IF(Tabela3[[#This Row],[Lucro/Ação]]&gt;0,Tabela3[[#This Row],[Cotação]]/(Tabela3[[#This Row],[Lucro/Ação]]/[Ref]*4),0)</f>
        <v>9.9034926188987455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A.A.]&gt;=5%,SUMPRODUCT(N([Nome]=Tabela3[[#This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1.7986078937453406E-2</v>
      </c>
      <c r="AU386" s="22">
        <f>((1+Tabela3[[#This Row],[% Yield]])^(1/(3*Tabela3[[#This Row],[Ref]])))^(12)-1</f>
        <v>2.4053042058425067E-2</v>
      </c>
      <c r="AV386" s="10">
        <f>IF([Cotação]&gt;0,($BH$1/Tabela3[[#This Row],[Cotação]]-MOD($BH$1/Tabela3[[#This Row],[Cotação]],100)),)</f>
        <v>200</v>
      </c>
      <c r="AW386" s="7">
        <f>Tabela3[[#This Row],[Ativos]]*[Lucro]</f>
        <v>15.288167096835394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4.25</v>
      </c>
    </row>
    <row r="387" spans="1:54" ht="11.25" customHeight="1">
      <c r="A387" s="3" t="s">
        <v>889</v>
      </c>
      <c r="B387" s="58" t="s">
        <v>971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7" s="18">
        <f>IF(Tabela3[[#This Row],[Lucro Líquido]]&gt;0,Tabela3[[#This Row],[Lucro Líquido]]/Tabela3[[#This Row],[Patrimônio Líquido]],0)/Tabela3[[#This Row],[Ref]]*4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2.312588816579864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400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 ht="11.25" customHeight="1">
      <c r="A388" s="3" t="s">
        <v>889</v>
      </c>
      <c r="B388" s="58" t="s">
        <v>972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58136250.479999997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8" s="18">
        <f>IF(Tabela3[[#This Row],[Lucro Líquido]]&gt;0,Tabela3[[#This Row],[Lucro Líquido]]/Tabela3[[#This Row],[Patrimônio Líquido]],0)/Tabela3[[#This Row],[Ref]]*4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2.312588816579864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1.21</v>
      </c>
      <c r="AO388" s="53">
        <f>[Cotação]/[VPA]</f>
        <v>0.48947482102138462</v>
      </c>
      <c r="AP388" s="37">
        <f>IF(Tabela3[[#This Row],[Lucro/Ação]]&gt;0,Tabela3[[#This Row],[Cotação]]/(Tabela3[[#This Row],[Lucro/Ação]]/[Ref]*4),0)</f>
        <v>36.795141816635208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3.8729665427873483E-2</v>
      </c>
      <c r="AU388" s="22">
        <f>((1+Tabela3[[#This Row],[% Yield]])^(1/(3*Tabela3[[#This Row],[Ref]])))^(12)-1</f>
        <v>3.8729665427874149E-2</v>
      </c>
      <c r="AV388" s="10">
        <f>IF([Cotação]&gt;0,($BH$1/Tabela3[[#This Row],[Cotação]]-MOD($BH$1/Tabela3[[#This Row],[Cotação]],100)),)</f>
        <v>700</v>
      </c>
      <c r="AW388" s="7">
        <f>Tabela3[[#This Row],[Ativos]]*[Lucro]</f>
        <v>32.804026617408844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1.21</v>
      </c>
      <c r="BB388" s="7">
        <f>SUMPRODUCT(N(Tabela17683[Código]=Tabela3[[#This Row],[PAPEL]]),Tabela17683[Fechamento])</f>
        <v>0</v>
      </c>
    </row>
    <row r="389" spans="1:54" ht="11.25" customHeight="1">
      <c r="A389" s="4" t="s">
        <v>309</v>
      </c>
      <c r="B389" s="57" t="s">
        <v>678</v>
      </c>
      <c r="C389" s="14" t="str">
        <f>LEFT([PAPEL],LEN([PAPEL])-(LEN([PAPEL])-4))</f>
        <v>PTPA</v>
      </c>
      <c r="D389" s="15">
        <v>4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>
        <v>1162669000</v>
      </c>
      <c r="N389" s="55">
        <v>241621000</v>
      </c>
      <c r="O389" s="55">
        <v>145176000</v>
      </c>
      <c r="P389" s="6">
        <v>746576000</v>
      </c>
      <c r="Q389" s="6">
        <v>95133000</v>
      </c>
      <c r="R389" s="6">
        <f>IF(Tabela3[[#This Row],[Ativo || Passivo]]&gt;0,Tabela3[[#This Row],[Ativo || Passivo]]-Tabela3[[#This Row],[Patrimônio Líquido]],0)</f>
        <v>416093000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1.6643315699564667</v>
      </c>
      <c r="U38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9" s="19">
        <f>IF(Tabela3[[#This Row],[Lucro Líquido]]&gt;0,Tabela3[[#This Row],[Lucro Líquido]]/Tabela3[[#This Row],[Patrimônio Líquido]],0)/Tabela3[[#This Row],[Ref]]*4</f>
        <v>0.12742574098283363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89" s="19">
        <f>IF(Tabela3[[#This Row],[Dívida]]&gt;0,Tabela3[[#This Row],[Dívida]]/Tabela3[[#This Row],[Patrimônio Líquido]],0)</f>
        <v>0.55733508711772139</v>
      </c>
      <c r="Y389" s="19">
        <f>SUMPRODUCT(N([Dívida / PL]&gt;0),N(RIGHT([PAPEL],LEN([PAPEL])-(LEN([PAPEL])-1))="3"),[Dívida / PL])/SUMPRODUCT(N([Dívida / PL]&gt;0),N(RIGHT([PAPEL],LEN([PAPEL])-(LEN([PAPEL])-1))="3"))</f>
        <v>2.312588816579864</v>
      </c>
      <c r="Z389" s="6">
        <f>Tabela3[[#This Row],[Capital Social]]*20%</f>
        <v>107389860.24200001</v>
      </c>
      <c r="AA389" s="6">
        <f>IF(([Lucro Líquido]*5%)&gt;[Teto R. Legal],[Teto R. Legal],[Lucro Líquido]*5%)</f>
        <v>4756650</v>
      </c>
      <c r="AB389" s="6">
        <f>IF([Lucro Líquido]&lt;0,0,[Lucro Líquido]-[Reserva Legal])</f>
        <v>90376350</v>
      </c>
      <c r="AC389" s="6">
        <f>Tabela3[[#This Row],[Lucro Distribuir]]*[%Div]</f>
        <v>27112905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5.3184477398064622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89" s="6">
        <f>[Div Base]*[Ações]</f>
        <v>9037635</v>
      </c>
      <c r="AL389" s="6">
        <f>SUMPRODUCT(N([Nome]=Tabela3[[#This Row],[Nome]]),[Div Base]*[Ações])</f>
        <v>27112905</v>
      </c>
      <c r="AM389" s="6">
        <f>[Patrimônio Líquido]/[Total Ações]</f>
        <v>41.737624586565644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5.0525253528161391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89" s="15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t="11.25" customHeight="1">
      <c r="A390" s="4" t="s">
        <v>309</v>
      </c>
      <c r="B390" s="57" t="s">
        <v>308</v>
      </c>
      <c r="C390" s="82" t="str">
        <f>LEFT([PAPEL],LEN([PAPEL])-(LEN([PAPEL])-4))</f>
        <v>PTPA</v>
      </c>
      <c r="D390" s="15">
        <v>4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1073241720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0" s="19">
        <f>IF(Tabela3[[#This Row],[Lucro Líquido]]&gt;0,Tabela3[[#This Row],[Lucro Líquido]]/Tabela3[[#This Row],[Patrimônio Líquido]],0)/Tabela3[[#This Row],[Ref]]*4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2.312588816579864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18075270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60</v>
      </c>
      <c r="AO390" s="44">
        <f>[Cotação]/[VPA]</f>
        <v>1.4375518634405606</v>
      </c>
      <c r="AP390" s="40">
        <f>IF(Tabela3[[#This Row],[Lucro/Ação]]&gt;0,Tabela3[[#This Row],[Cotação]]/(Tabela3[[#This Row],[Lucro/Ação]]/[Ref]*4),0)</f>
        <v>11.281487181104348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2.5262626764080694E-2</v>
      </c>
      <c r="AU390" s="19">
        <f>((1+Tabela3[[#This Row],[% Yield]])^(1/(3*Tabela3[[#This Row],[Ref]])))^(12)-1</f>
        <v>2.5262626764080309E-2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60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t="11.25" customHeight="1">
      <c r="A391" s="4" t="s">
        <v>237</v>
      </c>
      <c r="B391" s="57" t="s">
        <v>238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2134429447.1499999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1" s="19">
        <f>IF(Tabela3[[#This Row],[Lucro Líquido]]&gt;0,Tabela3[[#This Row],[Lucro Líquido]]/Tabela3[[#This Row],[Patrimônio Líquido]],0)/Tabela3[[#This Row],[Ref]]*4</f>
        <v>9.5662390796421373E-2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2.312588816579864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8.0299999999999994</v>
      </c>
      <c r="AO391" s="44">
        <f>[Cotação]/[VPA]</f>
        <v>0.89522724598529002</v>
      </c>
      <c r="AP391" s="40">
        <f>IF(Tabela3[[#This Row],[Lucro/Ação]]&gt;0,Tabela3[[#This Row],[Cotação]]/(Tabela3[[#This Row],[Lucro/Ação]]/[Ref]*4),0)</f>
        <v>9.358194359687479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7.6136482382675615E-7</v>
      </c>
      <c r="AU391" s="19">
        <f>((1+Tabela3[[#This Row],[% Yield]])^(1/(3*Tabela3[[#This Row],[Ref]])))^(12)-1</f>
        <v>1.0151532259250473E-6</v>
      </c>
      <c r="AV391" s="14">
        <f>IF([Cotação]&gt;0,($BH$1/Tabela3[[#This Row],[Cotação]]-MOD($BH$1/Tabela3[[#This Row],[Cotação]],100)),)</f>
        <v>100</v>
      </c>
      <c r="AW391" s="17">
        <f>Tabela3[[#This Row],[Ativos]]*[Lucro]</f>
        <v>6.1137595353288519E-4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8.0299999999999994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t="11.25" customHeight="1">
      <c r="A392" s="4" t="s">
        <v>726</v>
      </c>
      <c r="B392" s="57" t="s">
        <v>734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5574661139.6700001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2" s="19">
        <f>IF(Tabela3[[#This Row],[Lucro Líquido]]&gt;0,Tabela3[[#This Row],[Lucro Líquido]]/Tabela3[[#This Row],[Patrimônio Líquido]],0)/Tabela3[[#This Row],[Ref]]*4</f>
        <v>1.2934363907343286E-2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2.312588816579864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20.91</v>
      </c>
      <c r="AO392" s="44">
        <f>[Cotação]/[VPA]</f>
        <v>2.7190166363549015</v>
      </c>
      <c r="AP392" s="40">
        <f>IF(Tabela3[[#This Row],[Lucro/Ação]]&gt;0,Tabela3[[#This Row],[Cotação]]/(Tabela3[[#This Row],[Lucro/Ação]]/[Ref]*4),0)</f>
        <v>210.21649428088395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8.473407408364237E-4</v>
      </c>
      <c r="AU392" s="42">
        <f>((1+Tabela3[[#This Row],[% Yield]])^(1/(3*Tabela3[[#This Row],[Ref]])))^(12)-1</f>
        <v>1.1299471769337099E-3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20.91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t="11.25" customHeight="1">
      <c r="A393" s="3" t="s">
        <v>792</v>
      </c>
      <c r="B393" s="58" t="s">
        <v>791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5467888300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3" s="18">
        <f>IF(Tabela3[[#This Row],[Lucro Líquido]]&gt;0,Tabela3[[#This Row],[Lucro Líquido]]/Tabela3[[#This Row],[Patrimônio Líquido]],0)/Tabela3[[#This Row],[Ref]]*4</f>
        <v>4.232608649436171E-2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2.312588816579864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16.55</v>
      </c>
      <c r="AO393" s="53">
        <f>[Cotação]/[VPA]</f>
        <v>2.3723226980125101</v>
      </c>
      <c r="AP393" s="37">
        <f>IF(Tabela3[[#This Row],[Lucro/Ação]]&gt;0,Tabela3[[#This Row],[Cotação]]/(Tabela3[[#This Row],[Lucro/Ação]]/[Ref]*4),0)</f>
        <v>56.048713559391523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A.A.]&gt;=5%,SUMPRODUCT(N([Nome]=Tabela3[[#This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3.1780390429702082E-3</v>
      </c>
      <c r="AU393" s="22">
        <f>((1+Tabela3[[#This Row],[% Yield]])^(1/(3*Tabela3[[#This Row],[Ref]])))^(12)-1</f>
        <v>4.2396282370062988E-3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16.55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t="11.25" customHeight="1">
      <c r="A394" s="4" t="s">
        <v>19</v>
      </c>
      <c r="B394" s="57" t="s">
        <v>180</v>
      </c>
      <c r="C394" s="14" t="str">
        <f>LEFT([PAPEL],LEN([PAPEL])-(LEN([PAPEL])-4))</f>
        <v>RANI</v>
      </c>
      <c r="D394" s="15">
        <v>4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>
        <v>1422053000</v>
      </c>
      <c r="N394" s="55">
        <v>325535000</v>
      </c>
      <c r="O394" s="55">
        <v>335580000</v>
      </c>
      <c r="P394" s="6">
        <v>488229000</v>
      </c>
      <c r="Q394" s="6">
        <v>67408000</v>
      </c>
      <c r="R394" s="6">
        <f>IF(Tabela3[[#This Row],[Ativo || Passivo]]&gt;0,Tabela3[[#This Row],[Ativo || Passivo]]-Tabela3[[#This Row],[Patrimônio Líquido]],0)</f>
        <v>933824000</v>
      </c>
      <c r="S394" s="6">
        <f>Tabela3[[#This Row],[Cotação]]*Tabela3[[#This Row],[Total Ações]]</f>
        <v>558512787.25</v>
      </c>
      <c r="T394" s="132">
        <f>IF(Tabela3[[#This Row],[Passivo Circulante]]&gt;0,Tabela3[[#This Row],[Ativo Circulante]]/Tabela3[[#This Row],[Passivo Circulante]],0)</f>
        <v>0.97006675010429699</v>
      </c>
      <c r="U39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4" s="19">
        <f>IF(Tabela3[[#This Row],[Lucro Líquido]]&gt;0,Tabela3[[#This Row],[Lucro Líquido]]/Tabela3[[#This Row],[Patrimônio Líquido]],0)/Tabela3[[#This Row],[Ref]]*4</f>
        <v>0.1380663582048588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4" s="19">
        <f>IF(Tabela3[[#This Row],[Dívida]]&gt;0,Tabela3[[#This Row],[Dívida]]/Tabela3[[#This Row],[Patrimônio Líquido]],0)</f>
        <v>1.9126762236573411</v>
      </c>
      <c r="Y394" s="19">
        <f>SUMPRODUCT(N([Dívida / PL]&gt;0),N(RIGHT([PAPEL],LEN([PAPEL])-(LEN([PAPEL])-1))="3"),[Dívida / PL])/SUMPRODUCT(N([Dívida / PL]&gt;0),N(RIGHT([PAPEL],LEN([PAPEL])-(LEN([PAPEL])-1))="3"))</f>
        <v>2.312588816579864</v>
      </c>
      <c r="Z394" s="6">
        <f>Tabela3[[#This Row],[Capital Social]]*20%</f>
        <v>23378969.562000003</v>
      </c>
      <c r="AA394" s="6">
        <f>IF(([Lucro Líquido]*5%)&gt;[Teto R. Legal],[Teto R. Legal],[Lucro Líquido]*5%)</f>
        <v>3370400</v>
      </c>
      <c r="AB394" s="6">
        <f>IF([Lucro Líquido]&lt;0,0,[Lucro Líquido]-[Reserva Legal])</f>
        <v>64037600</v>
      </c>
      <c r="AC394" s="6">
        <f>Tabela3[[#This Row],[Lucro Distribuir]]*[%Div]</f>
        <v>16009400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0.40431804813614858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4" s="6">
        <f>[Div Base]*[Ações]</f>
        <v>14779287.911662314</v>
      </c>
      <c r="AL394" s="6">
        <f>SUMPRODUCT(N([Nome]=Tabela3[[#This Row],[Nome]]),[Div Base]*[Ações])</f>
        <v>16009400.000000002</v>
      </c>
      <c r="AM394" s="6">
        <f>[Patrimônio Líquido]/[Total Ações]</f>
        <v>2.9284327724226156</v>
      </c>
      <c r="AN394" s="48">
        <f>MAX(Tabela3[[#This Row],[Cotação 1]:[Cotação 5]])</f>
        <v>3.35</v>
      </c>
      <c r="AO394" s="44">
        <f>[Cotação]/[VPA]</f>
        <v>1.1439566007959381</v>
      </c>
      <c r="AP394" s="40">
        <f>IF(Tabela3[[#This Row],[Lucro/Ação]]&gt;0,Tabela3[[#This Row],[Cotação]]/(Tabela3[[#This Row],[Lucro/Ação]]/[Ref]*4),0)</f>
        <v>8.2855564213446478</v>
      </c>
      <c r="AQ394" s="78">
        <f>[Lucro Distribuir]/[Total Ações]</f>
        <v>0.38410214572934115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4" s="15" t="str">
        <f>IF(AND([% A.A.]&gt;=5%,SUMPRODUCT(N([Nome]=Tabela3[[#This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2.8664339233532919E-2</v>
      </c>
      <c r="AU394" s="19">
        <f>((1+Tabela3[[#This Row],[% Yield]])^(1/(3*Tabela3[[#This Row],[Ref]])))^(12)-1</f>
        <v>2.8664339233532621E-2</v>
      </c>
      <c r="AV394" s="14">
        <f>IF([Cotação]&gt;0,($BH$1/Tabela3[[#This Row],[Cotação]]-MOD($BH$1/Tabela3[[#This Row],[Cotação]],100)),)</f>
        <v>200</v>
      </c>
      <c r="AW394" s="17">
        <f>Tabela3[[#This Row],[Ativos]]*[Lucro]</f>
        <v>19.205107286467058</v>
      </c>
      <c r="AX394" s="5">
        <f>SUMPRODUCT(N(Tabela1[Código]=Tabela3[[#This Row],[PAPEL]]),Tabela1[Fechamento])</f>
        <v>3.35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t="11.25" customHeight="1">
      <c r="A395" s="4" t="s">
        <v>19</v>
      </c>
      <c r="B395" s="57" t="s">
        <v>181</v>
      </c>
      <c r="C395" s="14" t="str">
        <f>LEFT([PAPEL],LEN([PAPEL])-(LEN([PAPEL])-4))</f>
        <v>RANI</v>
      </c>
      <c r="D395" s="15">
        <v>4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>
        <v>1422053000</v>
      </c>
      <c r="N395" s="55">
        <v>325535000</v>
      </c>
      <c r="O395" s="55">
        <v>335580000</v>
      </c>
      <c r="P395" s="6">
        <v>488229000</v>
      </c>
      <c r="Q395" s="6">
        <v>67408000</v>
      </c>
      <c r="R395" s="6">
        <f>IF(Tabela3[[#This Row],[Ativo || Passivo]]&gt;0,Tabela3[[#This Row],[Ativo || Passivo]]-Tabela3[[#This Row],[Patrimônio Líquido]],0)</f>
        <v>933824000</v>
      </c>
      <c r="S395" s="6">
        <f>Tabela3[[#This Row],[Cotação]]*Tabela3[[#This Row],[Total Ações]]</f>
        <v>596858441.29999995</v>
      </c>
      <c r="T395" s="132">
        <f>IF(Tabela3[[#This Row],[Passivo Circulante]]&gt;0,Tabela3[[#This Row],[Ativo Circulante]]/Tabela3[[#This Row],[Passivo Circulante]],0)</f>
        <v>0.97006675010429699</v>
      </c>
      <c r="U39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5" s="19">
        <f>IF(Tabela3[[#This Row],[Lucro Líquido]]&gt;0,Tabela3[[#This Row],[Lucro Líquido]]/Tabela3[[#This Row],[Patrimônio Líquido]],0)/Tabela3[[#This Row],[Ref]]*4</f>
        <v>0.1380663582048588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5" s="19">
        <f>IF(Tabela3[[#This Row],[Dívida]]&gt;0,Tabela3[[#This Row],[Dívida]]/Tabela3[[#This Row],[Patrimônio Líquido]],0)</f>
        <v>1.9126762236573411</v>
      </c>
      <c r="Y395" s="19">
        <f>SUMPRODUCT(N([Dívida / PL]&gt;0),N(RIGHT([PAPEL],LEN([PAPEL])-(LEN([PAPEL])-1))="3"),[Dívida / PL])/SUMPRODUCT(N([Dívida / PL]&gt;0),N(RIGHT([PAPEL],LEN([PAPEL])-(LEN([PAPEL])-1))="3"))</f>
        <v>2.312588816579864</v>
      </c>
      <c r="Z395" s="6">
        <f>Tabela3[[#This Row],[Capital Social]]*20%</f>
        <v>23378969.562000003</v>
      </c>
      <c r="AA395" s="6">
        <f>IF(([Lucro Líquido]*5%)&gt;[Teto R. Legal],[Teto R. Legal],[Lucro Líquido]*5%)</f>
        <v>3370400</v>
      </c>
      <c r="AB395" s="6">
        <f>IF([Lucro Líquido]&lt;0,0,[Lucro Líquido]-[Reserva Legal])</f>
        <v>64037600</v>
      </c>
      <c r="AC395" s="6">
        <f>Tabela3[[#This Row],[Lucro Distribuir]]*[%Div]</f>
        <v>16009400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0.40431804813614858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5" s="6">
        <f>[Div Base]*[Ações]</f>
        <v>1230112.0883376875</v>
      </c>
      <c r="AL395" s="6">
        <f>SUMPRODUCT(N([Nome]=Tabela3[[#This Row],[Nome]]),[Div Base]*[Ações])</f>
        <v>16009400.000000002</v>
      </c>
      <c r="AM395" s="6">
        <f>[Patrimônio Líquido]/[Total Ações]</f>
        <v>2.9284327724226156</v>
      </c>
      <c r="AN395" s="48">
        <f>MAX(Tabela3[[#This Row],[Cotação 1]:[Cotação 5]])</f>
        <v>3.58</v>
      </c>
      <c r="AO395" s="44">
        <f>[Cotação]/[VPA]</f>
        <v>1.2224969047311816</v>
      </c>
      <c r="AP395" s="40">
        <f>IF(Tabela3[[#This Row],[Lucro/Ação]]&gt;0,Tabela3[[#This Row],[Cotação]]/(Tabela3[[#This Row],[Lucro/Ação]]/[Ref]*4),0)</f>
        <v>8.8544155189295033</v>
      </c>
      <c r="AQ395" s="78">
        <f>[Lucro Distribuir]/[Total Ações]</f>
        <v>0.38410214572934115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2.682277553975846E-2</v>
      </c>
      <c r="AU395" s="19">
        <f>((1+Tabela3[[#This Row],[% Yield]])^(1/(3*Tabela3[[#This Row],[Ref]])))^(12)-1</f>
        <v>2.6822775539759647E-2</v>
      </c>
      <c r="AV395" s="14">
        <f>IF([Cotação]&gt;0,($BH$1/Tabela3[[#This Row],[Cotação]]-MOD($BH$1/Tabela3[[#This Row],[Cotação]],100)),)</f>
        <v>200</v>
      </c>
      <c r="AW395" s="17">
        <f>Tabela3[[#This Row],[Ativos]]*[Lucro]</f>
        <v>19.205107286467058</v>
      </c>
      <c r="AX395" s="5">
        <f>SUMPRODUCT(N(Tabela1[Código]=Tabela3[[#This Row],[PAPEL]]),Tabela1[Fechamento])</f>
        <v>3.58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t="11.25" customHeight="1">
      <c r="A396" s="3" t="s">
        <v>1320</v>
      </c>
      <c r="B396" s="58" t="s">
        <v>1295</v>
      </c>
      <c r="C396" s="16" t="str">
        <f>LEFT([PAPEL],LEN([PAPEL])-(LEN([PAPEL])-4))</f>
        <v>RAPT</v>
      </c>
      <c r="D396" s="16">
        <v>3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/>
      <c r="N396" s="54"/>
      <c r="O396" s="54"/>
      <c r="P396" s="91">
        <v>1228796000</v>
      </c>
      <c r="Q396" s="73">
        <v>187245000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1765006672.48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6" s="18">
        <f>IF(Tabela3[[#This Row],[Lucro Líquido]]&gt;0,Tabela3[[#This Row],[Lucro Líquido]]/Tabela3[[#This Row],[Patrimônio Líquido]],0)/Tabela3[[#This Row],[Ref]]*4</f>
        <v>0.20317448950029135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2.312588816579864</v>
      </c>
      <c r="Z396" s="7">
        <f>Tabela3[[#This Row],[Capital Social]]*20%</f>
        <v>146000000</v>
      </c>
      <c r="AA396" s="47">
        <f>IF(([Lucro Líquido]*5%)&gt;[Teto R. Legal],[Teto R. Legal],[Lucro Líquido]*5%)</f>
        <v>9362250</v>
      </c>
      <c r="AB396" s="47">
        <f>IF([Lucro Líquido]&lt;0,0,[Lucro Líquido]-[Reserva Legal])</f>
        <v>177882750</v>
      </c>
      <c r="AC396" s="47">
        <f>Tabela3[[#This Row],[Lucro Distribuir]]*[%Div]</f>
        <v>53364825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0.76807290371043146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6" s="7">
        <f>[Div Base]*[Ações]</f>
        <v>17925411.229454946</v>
      </c>
      <c r="AL396" s="120">
        <f>SUMPRODUCT(N([Nome]=Tabela3[[#This Row],[Nome]]),[Div Base]*[Ações])</f>
        <v>53364825</v>
      </c>
      <c r="AM396" s="5">
        <f>[Patrimônio Líquido]/[Total Ações]</f>
        <v>5.0404812507023591</v>
      </c>
      <c r="AN396" s="52">
        <f>MAX(Tabela3[[#This Row],[Cotação 1]:[Cotação 5]])</f>
        <v>7.24</v>
      </c>
      <c r="AO396" s="53">
        <f>[Cotação]/[VPA]</f>
        <v>1.4363707828476004</v>
      </c>
      <c r="AP396" s="37">
        <f>IF(Tabela3[[#This Row],[Lucro/Ação]]&gt;0,Tabela3[[#This Row],[Cotação]]/(Tabela3[[#This Row],[Lucro/Ação]]/[Ref]*4),0)</f>
        <v>7.0696414022270293</v>
      </c>
      <c r="AQ396" s="85">
        <f>[Lucro Distribuir]/[Total Ações]</f>
        <v>0.72966925852490983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3.0234914027275267E-2</v>
      </c>
      <c r="AU396" s="22">
        <f>((1+Tabela3[[#This Row],[% Yield]])^(1/(3*Tabela3[[#This Row],[Ref]])))^(12)-1</f>
        <v>4.0515015174809932E-2</v>
      </c>
      <c r="AV396" s="10">
        <f>IF([Cotação]&gt;0,($BH$1/Tabela3[[#This Row],[Cotação]]-MOD($BH$1/Tabela3[[#This Row],[Cotação]],100)),)</f>
        <v>100</v>
      </c>
      <c r="AW396" s="7">
        <f>Tabela3[[#This Row],[Ativos]]*[Lucro]</f>
        <v>21.890077755747296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7.24</v>
      </c>
    </row>
    <row r="397" spans="1:54" ht="11.25" customHeight="1">
      <c r="A397" s="3" t="s">
        <v>1320</v>
      </c>
      <c r="B397" s="58" t="s">
        <v>1296</v>
      </c>
      <c r="C397" s="16" t="str">
        <f>LEFT([PAPEL],LEN([PAPEL])-(LEN([PAPEL])-4))</f>
        <v>RAPT</v>
      </c>
      <c r="D397" s="16">
        <v>3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/>
      <c r="N397" s="54"/>
      <c r="O397" s="54"/>
      <c r="P397" s="91">
        <v>1228796000</v>
      </c>
      <c r="Q397" s="73">
        <v>187245000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1999040706.3999999</v>
      </c>
      <c r="T397" s="37">
        <f>IF(Tabela3[[#This Row],[Passivo Circulante]]&gt;0,Tabela3[[#This Row],[Ativo Circulante]]/Tabela3[[#This Row],[Passivo Circulante]],0)</f>
        <v>0</v>
      </c>
      <c r="U39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7" s="18">
        <f>IF(Tabela3[[#This Row],[Lucro Líquido]]&gt;0,Tabela3[[#This Row],[Lucro Líquido]]/Tabela3[[#This Row],[Patrimônio Líquido]],0)/Tabela3[[#This Row],[Ref]]*4</f>
        <v>0.20317448950029135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7" s="18">
        <f>IF(Tabela3[[#This Row],[Dívida]]&gt;0,Tabela3[[#This Row],[Dívida]]/Tabela3[[#This Row],[Patrimônio Líquido]],0)</f>
        <v>0</v>
      </c>
      <c r="Y397" s="18">
        <f>SUMPRODUCT(N([Dívida / PL]&gt;0),N(RIGHT([PAPEL],LEN([PAPEL])-(LEN([PAPEL])-1))="3"),[Dívida / PL])/SUMPRODUCT(N([Dívida / PL]&gt;0),N(RIGHT([PAPEL],LEN([PAPEL])-(LEN([PAPEL])-1))="3"))</f>
        <v>2.312588816579864</v>
      </c>
      <c r="Z397" s="7">
        <f>Tabela3[[#This Row],[Capital Social]]*20%</f>
        <v>146000000</v>
      </c>
      <c r="AA397" s="47">
        <f>IF(([Lucro Líquido]*5%)&gt;[Teto R. Legal],[Teto R. Legal],[Lucro Líquido]*5%)</f>
        <v>9362250</v>
      </c>
      <c r="AB397" s="47">
        <f>IF([Lucro Líquido]&lt;0,0,[Lucro Líquido]-[Reserva Legal])</f>
        <v>177882750</v>
      </c>
      <c r="AC397" s="47">
        <f>Tabela3[[#This Row],[Lucro Distribuir]]*[%Div]</f>
        <v>53364825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0.76807290371043146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7" s="7">
        <f>[Div Base]*[Ações]</f>
        <v>35439413.770545051</v>
      </c>
      <c r="AL397" s="120">
        <f>SUMPRODUCT(N([Nome]=Tabela3[[#This Row],[Nome]]),[Div Base]*[Ações])</f>
        <v>53364825</v>
      </c>
      <c r="AM397" s="5">
        <f>[Patrimônio Líquido]/[Total Ações]</f>
        <v>5.0404812507023591</v>
      </c>
      <c r="AN397" s="52">
        <f>MAX(Tabela3[[#This Row],[Cotação 1]:[Cotação 5]])</f>
        <v>8.1999999999999993</v>
      </c>
      <c r="AO397" s="53">
        <f>[Cotação]/[VPA]</f>
        <v>1.6268287872030833</v>
      </c>
      <c r="AP397" s="37">
        <f>IF(Tabela3[[#This Row],[Lucro/Ação]]&gt;0,Tabela3[[#This Row],[Cotação]]/(Tabela3[[#This Row],[Lucro/Ação]]/[Ref]*4),0)</f>
        <v>8.0070524168869657</v>
      </c>
      <c r="AQ397" s="85">
        <f>[Lucro Distribuir]/[Total Ações]</f>
        <v>0.72966925852490983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2.6695216775301581E-2</v>
      </c>
      <c r="AU397" s="22">
        <f>((1+Tabela3[[#This Row],[% Yield]])^(1/(3*Tabela3[[#This Row],[Ref]])))^(12)-1</f>
        <v>3.5751056460795017E-2</v>
      </c>
      <c r="AV397" s="10">
        <f>IF([Cotação]&gt;0,($BH$1/Tabela3[[#This Row],[Cotação]]-MOD($BH$1/Tabela3[[#This Row],[Cotação]],100)),)</f>
        <v>100</v>
      </c>
      <c r="AW397" s="7">
        <f>Tabela3[[#This Row],[Ativos]]*[Lucro]</f>
        <v>21.890077755747296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8.1999999999999993</v>
      </c>
    </row>
    <row r="398" spans="1:54" ht="11.25" customHeight="1">
      <c r="A398" s="3" t="s">
        <v>1320</v>
      </c>
      <c r="B398" s="58" t="s">
        <v>1297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8" s="18">
        <f>IF(Tabela3[[#This Row],[Lucro Líquido]]&gt;0,Tabela3[[#This Row],[Lucro Líquido]]/Tabela3[[#This Row],[Patrimônio Líquido]],0)/Tabela3[[#This Row],[Ref]]*4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2.312588816579864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12800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 ht="11.25" customHeight="1">
      <c r="A399" s="3" t="s">
        <v>1320</v>
      </c>
      <c r="B399" s="58" t="s">
        <v>1298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16331266.700000001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9" s="18">
        <f>IF(Tabela3[[#This Row],[Lucro Líquido]]&gt;0,Tabela3[[#This Row],[Lucro Líquido]]/Tabela3[[#This Row],[Patrimônio Líquido]],0)/Tabela3[[#This Row],[Ref]]*4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2.312588816579864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7.0000000000000007E-2</v>
      </c>
      <c r="AO399" s="53">
        <f>[Cotação]/[VPA]</f>
        <v>-0.38856213894837022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12800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7.0000000000000007E-2</v>
      </c>
    </row>
    <row r="400" spans="1:54" ht="11.25" customHeight="1">
      <c r="A400" s="3" t="s">
        <v>1060</v>
      </c>
      <c r="B400" s="57" t="s">
        <v>1088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539184720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0" s="18">
        <f>IF(Tabela3[[#This Row],[Lucro Líquido]]&gt;0,Tabela3[[#This Row],[Lucro Líquido]]/Tabela3[[#This Row],[Patrimônio Líquido]],0)/Tabela3[[#This Row],[Ref]]*4</f>
        <v>8.2840841658763487E-2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2.312588816579864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11.1</v>
      </c>
      <c r="AO400" s="53">
        <f>[Cotação]/[VPA]</f>
        <v>0.66151709110717682</v>
      </c>
      <c r="AP400" s="37">
        <f>IF(Tabela3[[#This Row],[Lucro/Ação]]&gt;0,Tabela3[[#This Row],[Cotação]]/(Tabela3[[#This Row],[Lucro/Ação]]/[Ref]*4),0)</f>
        <v>7.9853979976698728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2.2306339652948624E-2</v>
      </c>
      <c r="AU400" s="22">
        <f>((1+Tabela3[[#This Row],[% Yield]])^(1/(3*Tabela3[[#This Row],[Ref]])))^(12)-1</f>
        <v>2.9851814869047644E-2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11.1</v>
      </c>
      <c r="BB400" s="7">
        <f>SUMPRODUCT(N(Tabela17683[Código]=Tabela3[[#This Row],[PAPEL]]),Tabela17683[Fechamento])</f>
        <v>0</v>
      </c>
    </row>
    <row r="401" spans="1:54" ht="11.25" customHeight="1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531556057.20000005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1" s="19">
        <f>IF(Tabela3[[#This Row],[Lucro Líquido]]&gt;0,Tabela3[[#This Row],[Lucro Líquido]]/Tabela3[[#This Row],[Patrimônio Líquido]],0)/Tabela3[[#This Row],[Ref]]*4</f>
        <v>0.17257451077295824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2.312588816579864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4.9000000000000004</v>
      </c>
      <c r="AO401" s="44">
        <f>[Cotação]/[VPA]</f>
        <v>1.1471599341342824</v>
      </c>
      <c r="AP401" s="40">
        <f>IF(Tabela3[[#This Row],[Lucro/Ação]]&gt;0,Tabela3[[#This Row],[Cotação]]/(Tabela3[[#This Row],[Lucro/Ação]]/[Ref]*4),0)</f>
        <v>6.6473312251975862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2.6796468231460119E-2</v>
      </c>
      <c r="AU401" s="19">
        <f>((1+Tabela3[[#This Row],[% Yield]])^(1/(3*Tabela3[[#This Row],[Ref]])))^(12)-1</f>
        <v>3.5887251408943222E-2</v>
      </c>
      <c r="AV401" s="14">
        <f>IF([Cotação]&gt;0,($BH$1/Tabela3[[#This Row],[Cotação]]-MOD($BH$1/Tabela3[[#This Row],[Cotação]],100)),)</f>
        <v>100</v>
      </c>
      <c r="AW401" s="17">
        <f>Tabela3[[#This Row],[Ativos]]*[Lucro]</f>
        <v>13.130269433415458</v>
      </c>
      <c r="AX401" s="5">
        <f>SUMPRODUCT(N(Tabela1[Código]=Tabela3[[#This Row],[PAPEL]]),Tabela1[Fechamento])</f>
        <v>4.9000000000000004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t="11.25" customHeight="1">
      <c r="A402" s="4" t="s">
        <v>12</v>
      </c>
      <c r="B402" s="126" t="s">
        <v>491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383932515.60000002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2" s="19">
        <f>IF(Tabela3[[#This Row],[Lucro Líquido]]&gt;0,Tabela3[[#This Row],[Lucro Líquido]]/Tabela3[[#This Row],[Patrimônio Líquido]],0)/Tabela3[[#This Row],[Ref]]*4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2.312588816579864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0.9</v>
      </c>
      <c r="AO402" s="44">
        <f>[Cotação]/[VPA]</f>
        <v>-2.2639666218511181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1000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0.9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t="11.25" customHeight="1">
      <c r="A403" s="4" t="s">
        <v>12</v>
      </c>
      <c r="B403" s="126" t="s">
        <v>492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383932515.60000002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3" s="19">
        <f>IF(Tabela3[[#This Row],[Lucro Líquido]]&gt;0,Tabela3[[#This Row],[Lucro Líquido]]/Tabela3[[#This Row],[Patrimônio Líquido]],0)/Tabela3[[#This Row],[Ref]]*4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2.312588816579864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0.9</v>
      </c>
      <c r="AO403" s="44">
        <f>[Cotação]/[VPA]</f>
        <v>-2.2639666218511181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1000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0.9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t="11.25" customHeight="1">
      <c r="A404" s="3" t="s">
        <v>305</v>
      </c>
      <c r="B404" s="58" t="s">
        <v>1029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6438519360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4" s="18">
        <f>IF(Tabela3[[#This Row],[Lucro Líquido]]&gt;0,Tabela3[[#This Row],[Lucro Líquido]]/Tabela3[[#This Row],[Patrimônio Líquido]],0)/Tabela3[[#This Row],[Ref]]*4</f>
        <v>0.25253073157590739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2.312588816579864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30.4</v>
      </c>
      <c r="AO404" s="53">
        <f>[Cotação]/[VPA]</f>
        <v>4.1428474470265977</v>
      </c>
      <c r="AP404" s="37">
        <f>IF(Tabela3[[#This Row],[Lucro/Ação]]&gt;0,Tabela3[[#This Row],[Cotação]]/(Tabela3[[#This Row],[Lucro/Ação]]/[Ref]*4),0)</f>
        <v>16.405319943332572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A.A.]&gt;=5%,SUMPRODUCT(N([Nome]=Tabela3[[#This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1.0857758374434709E-2</v>
      </c>
      <c r="AU404" s="22">
        <f>((1+Tabela3[[#This Row],[% Yield]])^(1/(3*Tabela3[[#This Row],[Ref]])))^(12)-1</f>
        <v>1.450314622036486E-2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30.4</v>
      </c>
      <c r="BB404" s="7">
        <f>SUMPRODUCT(N(Tabela17683[Código]=Tabela3[[#This Row],[PAPEL]]),Tabela17683[Fechamento])</f>
        <v>0</v>
      </c>
    </row>
    <row r="405" spans="1:54" ht="11.25" customHeight="1">
      <c r="A405" s="4" t="s">
        <v>40</v>
      </c>
      <c r="B405" s="57" t="s">
        <v>645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481497628.62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5" s="19">
        <f>IF(Tabela3[[#This Row],[Lucro Líquido]]&gt;0,Tabela3[[#This Row],[Lucro Líquido]]/Tabela3[[#This Row],[Patrimônio Líquido]],0)/Tabela3[[#This Row],[Ref]]*4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2.312588816579864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0.06</v>
      </c>
      <c r="AO405" s="44">
        <f>[Cotação]/[VPA]</f>
        <v>1.8045446589337579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A.A.]&gt;=5%,SUMPRODUCT(N([Nome]=Tabela3[[#This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15000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0.06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>
      <c r="A406" s="3" t="s">
        <v>842</v>
      </c>
      <c r="B406" s="58" t="s">
        <v>844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150000000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24000000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6" s="18">
        <f>IF(Tabela3[[#This Row],[Lucro Líquido]]&gt;0,Tabela3[[#This Row],[Lucro Líquido]]/Tabela3[[#This Row],[Patrimônio Líquido]],0)/Tabela3[[#This Row],[Ref]]*4</f>
        <v>0.13929888410694857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2.312588816579864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150000000</v>
      </c>
      <c r="AE406" s="85">
        <f>[Capital Social]/[Total Ações]</f>
        <v>0.84657333333333329</v>
      </c>
      <c r="AF406" s="85">
        <f>Tabela3[[#This Row],[Lucro Líquido]]/Tabela3[[#This Row],[Total Ações]]</f>
        <v>2.4113333333333334E-2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406" s="7">
        <f>[Div Base]*[Ações]</f>
        <v>1030844.9999999999</v>
      </c>
      <c r="AL406" s="7">
        <f>SUMPRODUCT(N([Nome]=Tabela3[[#This Row],[Nome]]),[Div Base]*[Ações])</f>
        <v>1030844.9999999999</v>
      </c>
      <c r="AM406" s="5">
        <f>[Patrimônio Líquido]/[Total Ações]</f>
        <v>0.23080666666666666</v>
      </c>
      <c r="AN406" s="52">
        <f>MAX(Tabela3[[#This Row],[Cotação 1]:[Cotação 5]])</f>
        <v>0.16</v>
      </c>
      <c r="AO406" s="53">
        <f>[Cotação]/[VPA]</f>
        <v>0.69322087750209416</v>
      </c>
      <c r="AP406" s="37">
        <f>IF(Tabela3[[#This Row],[Lucro/Ação]]&gt;0,Tabela3[[#This Row],[Cotação]]/(Tabela3[[#This Row],[Lucro/Ação]]/[Ref]*4),0)</f>
        <v>4.9764998617638927</v>
      </c>
      <c r="AQ406" s="85">
        <f>[Lucro Distribuir]/[Total Ações]</f>
        <v>2.2907666666666666E-2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4.2951874999999994E-2</v>
      </c>
      <c r="AU406" s="22">
        <f>((1+Tabela3[[#This Row],[% Yield]])^(1/(3*Tabela3[[#This Row],[Ref]])))^(12)-1</f>
        <v>5.767529171232666E-2</v>
      </c>
      <c r="AV406" s="10">
        <f>IF([Cotação]&gt;0,($BH$1/Tabela3[[#This Row],[Cotação]]-MOD($BH$1/Tabela3[[#This Row],[Cotação]],100)),)</f>
        <v>5600</v>
      </c>
      <c r="AW406" s="7">
        <f>Tabela3[[#This Row],[Ativos]]*[Lucro]</f>
        <v>38.484879999999997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0.16</v>
      </c>
      <c r="BB406" s="7">
        <f>SUMPRODUCT(N(Tabela17683[Código]=Tabela3[[#This Row],[PAPEL]]),Tabela17683[Fechamento])</f>
        <v>0</v>
      </c>
    </row>
    <row r="407" spans="1:54" ht="11.25" customHeight="1">
      <c r="A407" s="4" t="s">
        <v>12</v>
      </c>
      <c r="B407" s="58" t="s">
        <v>495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>
        <v>1000600000</v>
      </c>
      <c r="Q407" s="73">
        <v>5528000</v>
      </c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9580827177.25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7" s="18">
        <f>IF(Tabela3[[#This Row],[Lucro Líquido]]&gt;0,Tabela3[[#This Row],[Lucro Líquido]]/Tabela3[[#This Row],[Patrimônio Líquido]],0)/Tabela3[[#This Row],[Ref]]*4</f>
        <v>5.5246851888866681E-3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2.312588816579864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5528000</v>
      </c>
      <c r="AC407" s="47">
        <f>Tabela3[[#This Row],[Lucro Distribuir]]*[%Div]</f>
        <v>1382000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2.403145320758061E-2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4.3498321417339287</v>
      </c>
      <c r="AN407" s="52">
        <f>MAX(Tabela3[[#This Row],[Cotação 1]:[Cotação 5]])</f>
        <v>41.65</v>
      </c>
      <c r="AO407" s="53">
        <f>[Cotação]/[VPA]</f>
        <v>9.5750821279732161</v>
      </c>
      <c r="AP407" s="37">
        <f>IF(Tabela3[[#This Row],[Lucro/Ação]]&gt;0,Tabela3[[#This Row],[Cotação]]/(Tabela3[[#This Row],[Lucro/Ação]]/[Ref]*4),0)</f>
        <v>1733.1452925560782</v>
      </c>
      <c r="AQ407" s="77">
        <f>[Lucro Distribuir]/[Total Ações]</f>
        <v>2.403145320758061E-2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4.1110229076593476E-4</v>
      </c>
      <c r="AU407" s="22">
        <f>((1+Tabela3[[#This Row],[% Yield]])^(1/(3*Tabela3[[#This Row],[Ref]])))^(12)-1</f>
        <v>4.1110229076757321E-4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41.65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t="11.25" customHeight="1">
      <c r="A408" s="4" t="s">
        <v>12</v>
      </c>
      <c r="B408" s="57" t="s">
        <v>496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8" s="18">
        <f>IF(Tabela3[[#This Row],[Lucro Líquido]]&gt;0,Tabela3[[#This Row],[Lucro Líquido]]/Tabela3[[#This Row],[Patrimônio Líquido]],0)/Tabela3[[#This Row],[Ref]]*4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2.312588816579864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t="11.25" customHeight="1">
      <c r="A409" s="4" t="s">
        <v>12</v>
      </c>
      <c r="B409" s="57" t="s">
        <v>497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9" s="18">
        <f>IF(Tabela3[[#This Row],[Lucro Líquido]]&gt;0,Tabela3[[#This Row],[Lucro Líquido]]/Tabela3[[#This Row],[Patrimônio Líquido]],0)/Tabela3[[#This Row],[Ref]]*4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2.312588816579864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t="11.25" customHeight="1">
      <c r="A410" s="3" t="s">
        <v>1268</v>
      </c>
      <c r="B410" s="57" t="s">
        <v>1255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376010070.28000003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0" s="18">
        <f>IF(Tabela3[[#This Row],[Lucro Líquido]]&gt;0,Tabela3[[#This Row],[Lucro Líquido]]/Tabela3[[#This Row],[Patrimônio Líquido]],0)/Tabela3[[#This Row],[Ref]]*4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2.312588816579864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5.24</v>
      </c>
      <c r="AO410" s="53">
        <f>[Cotação]/[VPA]</f>
        <v>0.58005209573688554</v>
      </c>
      <c r="AP410" s="37">
        <f>IF(Tabela3[[#This Row],[Lucro/Ação]]&gt;0,Tabela3[[#This Row],[Cotação]]/(Tabela3[[#This Row],[Lucro/Ação]]/[Ref]*4),0)</f>
        <v>275.46525295238098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A.A.]&gt;=5%,SUMPRODUCT(N([Nome]=Tabela3[[#This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8.6217770646033554E-4</v>
      </c>
      <c r="AU410" s="22">
        <f>((1+Tabela3[[#This Row],[% Yield]])^(1/(3*Tabela3[[#This Row],[Ref]])))^(12)-1</f>
        <v>8.6217770646102032E-4</v>
      </c>
      <c r="AV410" s="10">
        <f>IF([Cotação]&gt;0,($BH$1/Tabela3[[#This Row],[Cotação]]-MOD($BH$1/Tabela3[[#This Row],[Cotação]],100)),)</f>
        <v>100</v>
      </c>
      <c r="AW410" s="7">
        <f>Tabela3[[#This Row],[Ativos]]*[Lucro]</f>
        <v>0.45178111818521582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5.24</v>
      </c>
    </row>
    <row r="411" spans="1:54" ht="11.25" customHeight="1">
      <c r="A411" s="4" t="s">
        <v>14</v>
      </c>
      <c r="B411" s="57" t="s">
        <v>187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257434097.75999999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1" s="19">
        <f>IF(Tabela3[[#This Row],[Lucro Líquido]]&gt;0,Tabela3[[#This Row],[Lucro Líquido]]/Tabela3[[#This Row],[Patrimônio Líquido]],0)/Tabela3[[#This Row],[Ref]]*4</f>
        <v>5.7030906489175227E-2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2.312588816579864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3.04</v>
      </c>
      <c r="AO411" s="44">
        <f>[Cotação]/[VPA]</f>
        <v>0.35409444535990015</v>
      </c>
      <c r="AP411" s="40">
        <f>IF(Tabela3[[#This Row],[Lucro/Ação]]&gt;0,Tabela3[[#This Row],[Cotação]]/(Tabela3[[#This Row],[Lucro/Ação]]/[Ref]*4),0)</f>
        <v>6.2088167128661933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9.1467832494762334E-3</v>
      </c>
      <c r="AU411" s="19">
        <f>((1+Tabela3[[#This Row],[% Yield]])^(1/(3*Tabela3[[#This Row],[Ref]])))^(12)-1</f>
        <v>1.2214265273191804E-2</v>
      </c>
      <c r="AV411" s="14">
        <f>IF([Cotação]&gt;0,($BH$1/Tabela3[[#This Row],[Cotação]]-MOD($BH$1/Tabela3[[#This Row],[Cotação]],100)),)</f>
        <v>200</v>
      </c>
      <c r="AW411" s="17">
        <f>Tabela3[[#This Row],[Ativos]]*[Lucro]</f>
        <v>5.5612442156815503</v>
      </c>
      <c r="AX411" s="5">
        <f>SUMPRODUCT(N(Tabela1[Código]=Tabela3[[#This Row],[PAPEL]]),Tabela1[Fechamento])</f>
        <v>3.04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2" s="19">
        <f>IF(Tabela3[[#This Row],[Lucro Líquido]]&gt;0,Tabela3[[#This Row],[Lucro Líquido]]/Tabela3[[#This Row],[Patrimônio Líquido]],0)/Tabela3[[#This Row],[Ref]]*4</f>
        <v>5.7030906489175227E-2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2.312588816579864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100</v>
      </c>
      <c r="AW412" s="17">
        <f>Tabela3[[#This Row],[Ativos]]*[Lucro]</f>
        <v>37.92722984312099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t="11.25" customHeight="1">
      <c r="A413" s="4" t="s">
        <v>14</v>
      </c>
      <c r="B413" s="57" t="s">
        <v>188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197309686.77000001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3" s="19">
        <f>IF(Tabela3[[#This Row],[Lucro Líquido]]&gt;0,Tabela3[[#This Row],[Lucro Líquido]]/Tabela3[[#This Row],[Patrimônio Líquido]],0)/Tabela3[[#This Row],[Ref]]*4</f>
        <v>5.7030906489175227E-2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2.312588816579864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2.33</v>
      </c>
      <c r="AO413" s="44">
        <f>[Cotação]/[VPA]</f>
        <v>0.27139475581860772</v>
      </c>
      <c r="AP413" s="40">
        <f>IF(Tabela3[[#This Row],[Lucro/Ação]]&gt;0,Tabela3[[#This Row],[Cotação]]/(Tabela3[[#This Row],[Lucro/Ação]]/[Ref]*4),0)</f>
        <v>4.7587312305849441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1.1934000462835945E-2</v>
      </c>
      <c r="AU413" s="19">
        <f>((1+Tabela3[[#This Row],[% Yield]])^(1/(3*Tabela3[[#This Row],[Ref]])))^(12)-1</f>
        <v>1.5943566069217097E-2</v>
      </c>
      <c r="AV413" s="14">
        <f>IF([Cotação]&gt;0,($BH$1/Tabela3[[#This Row],[Cotação]]-MOD($BH$1/Tabela3[[#This Row],[Cotação]],100)),)</f>
        <v>300</v>
      </c>
      <c r="AW413" s="17">
        <f>Tabela3[[#This Row],[Ativos]]*[Lucro]</f>
        <v>8.3418663235223249</v>
      </c>
      <c r="AX413" s="5">
        <f>SUMPRODUCT(N(Tabela1[Código]=Tabela3[[#This Row],[PAPEL]]),Tabela1[Fechamento])</f>
        <v>2.33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t="11.25" customHeight="1">
      <c r="A414" s="4" t="s">
        <v>237</v>
      </c>
      <c r="B414" s="126" t="s">
        <v>581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354060251.01999998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4" s="19">
        <f>IF(Tabela3[[#This Row],[Lucro Líquido]]&gt;0,Tabela3[[#This Row],[Lucro Líquido]]/Tabela3[[#This Row],[Patrimônio Líquido]],0)/Tabela3[[#This Row],[Ref]]*4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2.312588816579864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0.31</v>
      </c>
      <c r="AO414" s="44">
        <f>[Cotação]/[VPA]</f>
        <v>-0.6160387290534628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2900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0.31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t="11.25" customHeight="1">
      <c r="A415" s="4" t="s">
        <v>237</v>
      </c>
      <c r="B415" s="126" t="s">
        <v>582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365481549.44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5" s="19">
        <f>IF(Tabela3[[#This Row],[Lucro Líquido]]&gt;0,Tabela3[[#This Row],[Lucro Líquido]]/Tabela3[[#This Row],[Patrimônio Líquido]],0)/Tabela3[[#This Row],[Ref]]*4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2.312588816579864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0.32</v>
      </c>
      <c r="AO415" s="44">
        <f>[Cotação]/[VPA]</f>
        <v>-0.63591094611970356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2800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0.32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t="11.25" customHeight="1">
      <c r="A416" s="3" t="s">
        <v>1060</v>
      </c>
      <c r="B416" s="57" t="s">
        <v>1089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694710140.4000001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6" s="18">
        <f>IF(Tabela3[[#This Row],[Lucro Líquido]]&gt;0,Tabela3[[#This Row],[Lucro Líquido]]/Tabela3[[#This Row],[Patrimônio Líquido]],0)/Tabela3[[#This Row],[Ref]]*4</f>
        <v>2.1527767012311457E-2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2.312588816579864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1.62</v>
      </c>
      <c r="AO416" s="53">
        <f>[Cotação]/[VPA]</f>
        <v>0.29106987058117179</v>
      </c>
      <c r="AP416" s="37">
        <f>IF(Tabela3[[#This Row],[Lucro/Ação]]&gt;0,Tabela3[[#This Row],[Cotação]]/(Tabela3[[#This Row],[Lucro/Ação]]/[Ref]*4),0)</f>
        <v>13.520671717355201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A.A.]&gt;=5%,SUMPRODUCT(N([Nome]=Tabela3[[#This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1.3174271495058775E-2</v>
      </c>
      <c r="AU416" s="22">
        <f>((1+Tabela3[[#This Row],[% Yield]])^(1/(3*Tabela3[[#This Row],[Ref]])))^(12)-1</f>
        <v>1.7604152232969517E-2</v>
      </c>
      <c r="AV416" s="10">
        <f>IF([Cotação]&gt;0,($BH$1/Tabela3[[#This Row],[Cotação]]-MOD($BH$1/Tabela3[[#This Row],[Cotação]],100)),)</f>
        <v>500</v>
      </c>
      <c r="AW416" s="7">
        <f>Tabela3[[#This Row],[Ativos]]*[Lucro]</f>
        <v>10.671159910997609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1.62</v>
      </c>
      <c r="BB416" s="7">
        <f>SUMPRODUCT(N(Tabela17683[Código]=Tabela3[[#This Row],[PAPEL]]),Tabela17683[Fechamento])</f>
        <v>0</v>
      </c>
    </row>
    <row r="417" spans="1:54" ht="11.25" customHeight="1">
      <c r="A417" s="3" t="s">
        <v>1320</v>
      </c>
      <c r="B417" s="57" t="s">
        <v>1292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7" s="18">
        <f>IF(Tabela3[[#This Row],[Lucro Líquido]]&gt;0,Tabela3[[#This Row],[Lucro Líquido]]/Tabela3[[#This Row],[Patrimônio Líquido]],0)/Tabela3[[#This Row],[Ref]]*4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2.312588816579864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 ht="11.25" customHeight="1">
      <c r="A418" s="3" t="s">
        <v>1320</v>
      </c>
      <c r="B418" s="57" t="s">
        <v>1293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8" s="18">
        <f>IF(Tabela3[[#This Row],[Lucro Líquido]]&gt;0,Tabela3[[#This Row],[Lucro Líquido]]/Tabela3[[#This Row],[Patrimônio Líquido]],0)/Tabela3[[#This Row],[Ref]]*4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2.312588816579864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 ht="11.25" customHeight="1">
      <c r="A419" s="4" t="s">
        <v>14</v>
      </c>
      <c r="B419" s="57" t="s">
        <v>550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4585016903238.4502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9" s="19">
        <f>IF(Tabela3[[#This Row],[Lucro Líquido]]&gt;0,Tabela3[[#This Row],[Lucro Líquido]]/Tabela3[[#This Row],[Patrimônio Líquido]],0)/Tabela3[[#This Row],[Ref]]*4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2.312588816579864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11.49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A.A.]&gt;=5%,SUMPRODUCT(N([Nome]=Tabela3[[#This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8.97409364595406E-3</v>
      </c>
      <c r="AU419" s="42">
        <f>((1+Tabela3[[#This Row],[% Yield]])^(1/(3*Tabela3[[#This Row],[Ref]])))^(12)-1</f>
        <v>8.9740936459552501E-3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11.49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t="11.25" customHeight="1">
      <c r="A420" s="4" t="s">
        <v>14</v>
      </c>
      <c r="B420" s="57" t="s">
        <v>551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43894852859.550003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0" s="19">
        <f>IF(Tabela3[[#This Row],[Lucro Líquido]]&gt;0,Tabela3[[#This Row],[Lucro Líquido]]/Tabela3[[#This Row],[Patrimônio Líquido]],0)/Tabela3[[#This Row],[Ref]]*4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2.312588816579864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0.11</v>
      </c>
      <c r="AO420" s="44">
        <f>[Cotação]/[VPA]</f>
        <v>0.69868056068940831</v>
      </c>
      <c r="AP420" s="40">
        <f>IF(Tabela3[[#This Row],[Lucro/Ação]]&gt;0,Tabela3[[#This Row],[Cotação]]/(Tabela3[[#This Row],[Lucro/Ação]]/[Ref]*4),0)</f>
        <v>27.002944748541733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8.5216806546599671E-3</v>
      </c>
      <c r="AU420" s="42">
        <f>((1+Tabela3[[#This Row],[% Yield]])^(1/(3*Tabela3[[#This Row],[Ref]])))^(12)-1</f>
        <v>8.5216806546599688E-3</v>
      </c>
      <c r="AV420" s="14">
        <f>IF([Cotação]&gt;0,($BH$1/Tabela3[[#This Row],[Cotação]]-MOD($BH$1/Tabela3[[#This Row],[Cotação]],100)),)</f>
        <v>8100</v>
      </c>
      <c r="AW420" s="17">
        <f>Tabela3[[#This Row],[Ativos]]*[Lucro]</f>
        <v>7.5928174633020307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t="11.25" customHeight="1">
      <c r="A421" s="4" t="s">
        <v>14</v>
      </c>
      <c r="B421" s="57" t="s">
        <v>552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1" s="19">
        <f>IF(Tabela3[[#This Row],[Lucro Líquido]]&gt;0,Tabela3[[#This Row],[Lucro Líquido]]/Tabela3[[#This Row],[Patrimônio Líquido]],0)/Tabela3[[#This Row],[Ref]]*4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2.312588816579864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9.3738487329671563E-3</v>
      </c>
      <c r="AU421" s="42">
        <f>((1+Tabela3[[#This Row],[% Yield]])^(1/(3*Tabela3[[#This Row],[Ref]])))^(12)-1</f>
        <v>9.373848732967538E-3</v>
      </c>
      <c r="AV421" s="14">
        <f>IF([Cotação]&gt;0,($BH$1/Tabela3[[#This Row],[Cotação]]-MOD($BH$1/Tabela3[[#This Row],[Cotação]],100)),)</f>
        <v>8100</v>
      </c>
      <c r="AW421" s="17">
        <f>Tabela3[[#This Row],[Ativos]]*[Lucro]</f>
        <v>8.3520992210737361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t="11.25" customHeight="1">
      <c r="A422" s="4" t="s">
        <v>37</v>
      </c>
      <c r="B422" s="57" t="s">
        <v>178</v>
      </c>
      <c r="C422" s="14" t="str">
        <f>LEFT([PAPEL],LEN([PAPEL])-(LEN([PAPEL])-4))</f>
        <v>SAPR</v>
      </c>
      <c r="D422" s="15">
        <v>4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>
        <v>6748027000</v>
      </c>
      <c r="N422" s="55">
        <v>601122000</v>
      </c>
      <c r="O422" s="55">
        <v>544102000</v>
      </c>
      <c r="P422" s="6">
        <v>3566842000</v>
      </c>
      <c r="Q422" s="6">
        <v>402904000</v>
      </c>
      <c r="R422" s="6">
        <f>IF(Tabela3[[#This Row],[Ativo || Passivo]]&gt;0,Tabela3[[#This Row],[Ativo || Passivo]]-Tabela3[[#This Row],[Patrimônio Líquido]],0)</f>
        <v>3181185000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1.1047965271217528</v>
      </c>
      <c r="U42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2" s="19">
        <f>IF(Tabela3[[#This Row],[Lucro Líquido]]&gt;0,Tabela3[[#This Row],[Lucro Líquido]]/Tabela3[[#This Row],[Patrimônio Líquido]],0)/Tabela3[[#This Row],[Ref]]*4</f>
        <v>0.11295818542004384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2" s="19">
        <f>IF(Tabela3[[#This Row],[Dívida]]&gt;0,Tabela3[[#This Row],[Dívida]]/Tabela3[[#This Row],[Patrimônio Líquido]],0)</f>
        <v>0.89187718435523633</v>
      </c>
      <c r="Y422" s="19">
        <f>SUMPRODUCT(N([Dívida / PL]&gt;0),N(RIGHT([PAPEL],LEN([PAPEL])-(LEN([PAPEL])-1))="3"),[Dívida / PL])/SUMPRODUCT(N([Dívida / PL]&gt;0),N(RIGHT([PAPEL],LEN([PAPEL])-(LEN([PAPEL])-1))="3"))</f>
        <v>2.312588816579864</v>
      </c>
      <c r="Z422" s="6">
        <f>Tabela3[[#This Row],[Capital Social]]*20%</f>
        <v>519471961.20000005</v>
      </c>
      <c r="AA422" s="6">
        <f>IF(([Lucro Líquido]*5%)&gt;[Teto R. Legal],[Teto R. Legal],[Lucro Líquido]*5%)</f>
        <v>20145200</v>
      </c>
      <c r="AB422" s="6">
        <f>IF([Lucro Líquido]&lt;0,0,[Lucro Líquido]-[Reserva Legal])</f>
        <v>382758800</v>
      </c>
      <c r="AC422" s="6">
        <f>Tabela3[[#This Row],[Lucro Distribuir]]*[%Div]</f>
        <v>95689700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0.84533554164927704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2" s="6">
        <f>[Div Base]*[Ações]</f>
        <v>56379230.37349344</v>
      </c>
      <c r="AL422" s="6">
        <f>SUMPRODUCT(N([Nome]=Tabela3[[#This Row],[Nome]]),[Div Base]*[Ações])</f>
        <v>96345749.537082076</v>
      </c>
      <c r="AM422" s="6">
        <f>[Patrimônio Líquido]/[Total Ações]</f>
        <v>7.4836147420908965</v>
      </c>
      <c r="AN422" s="48">
        <f>MAX(Tabela3[[#This Row],[Cotação 1]:[Cotação 5]])</f>
        <v>8.19</v>
      </c>
      <c r="AO422" s="44">
        <f>[Cotação]/[VPA]</f>
        <v>1.0943909169904358</v>
      </c>
      <c r="AP422" s="40">
        <f>IF(Tabela3[[#This Row],[Lucro/Ação]]&gt;0,Tabela3[[#This Row],[Cotação]]/(Tabela3[[#This Row],[Lucro/Ação]]/[Ref]*4),0)</f>
        <v>9.6884604946587771</v>
      </c>
      <c r="AQ422" s="78">
        <f>[Lucro Distribuir]/[Total Ações]</f>
        <v>0.8030687645668132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2" s="15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2.3750984174354568E-2</v>
      </c>
      <c r="AU422" s="19">
        <f>((1+Tabela3[[#This Row],[% Yield]])^(1/(3*Tabela3[[#This Row],[Ref]])))^(12)-1</f>
        <v>2.3750984174354617E-2</v>
      </c>
      <c r="AV422" s="14">
        <f>IF([Cotação]&gt;0,($BH$1/Tabela3[[#This Row],[Cotação]]-MOD($BH$1/Tabela3[[#This Row],[Cotação]],100)),)</f>
        <v>100</v>
      </c>
      <c r="AW422" s="17">
        <f>Tabela3[[#This Row],[Ativos]]*[Lucro]</f>
        <v>19.452056038796389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t="11.25" customHeight="1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2726267578.3199997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3" s="19">
        <f>IF(Tabela3[[#This Row],[Lucro Líquido]]&gt;0,Tabela3[[#This Row],[Lucro Líquido]]/Tabela3[[#This Row],[Patrimônio Líquido]],0)/Tabela3[[#This Row],[Ref]]*4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2.312588816579864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3" s="6">
        <f>[Div Base]*[Ações]</f>
        <v>39966519.163588628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5.72</v>
      </c>
      <c r="AO423" s="44">
        <f>[Cotação]/[VPA]</f>
        <v>0.76433651345363762</v>
      </c>
      <c r="AP423" s="40">
        <f>IF(Tabela3[[#This Row],[Lucro/Ação]]&gt;0,Tabela3[[#This Row],[Cotação]]/(Tabela3[[#This Row],[Lucro/Ação]]/[Ref]*4),0)</f>
        <v>6.7665438375394631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3.7407800125853208E-2</v>
      </c>
      <c r="AU423" s="19">
        <f>((1+Tabela3[[#This Row],[% Yield]])^(1/(3*Tabela3[[#This Row],[Ref]])))^(12)-1</f>
        <v>3.7407800125851987E-2</v>
      </c>
      <c r="AV423" s="14">
        <f>IF([Cotação]&gt;0,($BH$1/Tabela3[[#This Row],[Cotação]]-MOD($BH$1/Tabela3[[#This Row],[Cotação]],100)),)</f>
        <v>100</v>
      </c>
      <c r="AW423" s="17">
        <f>Tabela3[[#This Row],[Ativos]]*[Lucro]</f>
        <v>21.397261671988037</v>
      </c>
      <c r="AX423" s="5">
        <f>SUMPRODUCT(N(Tabela1[Código]=Tabela3[[#This Row],[PAPEL]]),Tabela1[Fechamento])</f>
        <v>5.72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t="11.25" customHeight="1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14312696656.860001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4" s="19">
        <f>IF(Tabela3[[#This Row],[Lucro Líquido]]&gt;0,Tabela3[[#This Row],[Lucro Líquido]]/Tabela3[[#This Row],[Patrimônio Líquido]],0)/Tabela3[[#This Row],[Ref]]*4</f>
        <v>0.14206218606095658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2.312588816579864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20.94</v>
      </c>
      <c r="AO424" s="44">
        <f>[Cotação]/[VPA]</f>
        <v>1.1441557850607484</v>
      </c>
      <c r="AP424" s="40">
        <f>IF(Tabela3[[#This Row],[Lucro/Ação]]&gt;0,Tabela3[[#This Row],[Cotação]]/(Tabela3[[#This Row],[Lucro/Ação]]/[Ref]*4),0)</f>
        <v>8.0539080580514906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2.2116592183086627E-2</v>
      </c>
      <c r="AU424" s="19">
        <f>((1+Tabela3[[#This Row],[% Yield]])^(1/(3*Tabela3[[#This Row],[Ref]])))^(12)-1</f>
        <v>2.9596958800433892E-2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20.94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t="11.25" customHeight="1">
      <c r="A425" s="3" t="s">
        <v>336</v>
      </c>
      <c r="B425" s="57" t="s">
        <v>350</v>
      </c>
      <c r="C425" s="82" t="str">
        <f>LEFT([PAPEL],LEN([PAPEL])-(LEN([PAPEL])-4))</f>
        <v>SCAR</v>
      </c>
      <c r="D425" s="16">
        <v>3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/>
      <c r="N425" s="54"/>
      <c r="O425" s="54"/>
      <c r="P425" s="5">
        <v>984644000</v>
      </c>
      <c r="Q425" s="5">
        <v>94588000</v>
      </c>
      <c r="R425" s="5">
        <f>IF(Tabela3[[#This Row],[Ativo || Passivo]]&gt;0,Tabela3[[#This Row],[Ativo || Passivo]]-Tabela3[[#This Row],[Patrimônio Líquido]],0)</f>
        <v>0</v>
      </c>
      <c r="S425" s="5">
        <f>Tabela3[[#This Row],[Cotação]]*Tabela3[[#This Row],[Total Ações]]</f>
        <v>2030044065.7199998</v>
      </c>
      <c r="T425" s="130">
        <f>IF(Tabela3[[#This Row],[Passivo Circulante]]&gt;0,Tabela3[[#This Row],[Ativo Circulante]]/Tabela3[[#This Row],[Passivo Circulante]],0)</f>
        <v>0</v>
      </c>
      <c r="U42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5" s="18">
        <f>IF(Tabela3[[#This Row],[Lucro Líquido]]&gt;0,Tabela3[[#This Row],[Lucro Líquido]]/Tabela3[[#This Row],[Patrimônio Líquido]],0)/Tabela3[[#This Row],[Ref]]*4</f>
        <v>0.12808419421977216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2.312588816579864</v>
      </c>
      <c r="Z425" s="5">
        <f>Tabela3[[#This Row],[Capital Social]]*20%</f>
        <v>94782335.296000004</v>
      </c>
      <c r="AA425" s="5">
        <f>IF(([Lucro Líquido]*5%)&gt;[Teto R. Legal],[Teto R. Legal],[Lucro Líquido]*5%)</f>
        <v>4729400</v>
      </c>
      <c r="AB425" s="5">
        <f>IF([Lucro Líquido]&lt;0,0,[Lucro Líquido]-[Reserva Legal])</f>
        <v>89858600</v>
      </c>
      <c r="AC425" s="5">
        <f>Tabela3[[#This Row],[Lucro Distribuir]]*[%Div]</f>
        <v>22464650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1.6382472361852214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425" s="5">
        <f>[Div Base]*[Ações]</f>
        <v>22464650</v>
      </c>
      <c r="AL425" s="5">
        <f>SUMPRODUCT(N([Nome]=Tabela3[[#This Row],[Nome]]),[Div Base]*[Ações])</f>
        <v>22464650</v>
      </c>
      <c r="AM425" s="5">
        <f>[Patrimônio Líquido]/[Total Ações]</f>
        <v>17.053857906144131</v>
      </c>
      <c r="AN425" s="52">
        <f>MAX(Tabela3[[#This Row],[Cotação 1]:[Cotação 5]])</f>
        <v>35.159999999999997</v>
      </c>
      <c r="AO425" s="53">
        <f>[Cotação]/[VPA]</f>
        <v>2.061703585986407</v>
      </c>
      <c r="AP425" s="37">
        <f>IF(Tabela3[[#This Row],[Lucro/Ação]]&gt;0,Tabela3[[#This Row],[Cotação]]/(Tabela3[[#This Row],[Lucro/Ação]]/[Ref]*4),0)</f>
        <v>16.096471532223958</v>
      </c>
      <c r="AQ425" s="77">
        <f>[Lucro Distribuir]/[Total Ações]</f>
        <v>1.5563348743759604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425" s="16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1.1066089834868889E-2</v>
      </c>
      <c r="AU425" s="18">
        <f>((1+Tabela3[[#This Row],[% Yield]])^(1/(3*Tabela3[[#This Row],[Ref]])))^(12)-1</f>
        <v>1.4781932798381581E-2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35.159999999999997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t="11.25" customHeight="1">
      <c r="A426" s="4" t="s">
        <v>14</v>
      </c>
      <c r="B426" s="57" t="s">
        <v>557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6" s="19">
        <f>IF(Tabela3[[#This Row],[Lucro Líquido]]&gt;0,Tabela3[[#This Row],[Lucro Líquido]]/Tabela3[[#This Row],[Patrimônio Líquido]],0)/Tabela3[[#This Row],[Ref]]*4</f>
        <v>1.2851157742436775E-2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2.312588816579864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A.A.]&gt;=5%,SUMPRODUCT(N([Nome]=Tabela3[[#This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t="11.25" customHeight="1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380182881.95999998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7" s="19">
        <f>IF(Tabela3[[#This Row],[Lucro Líquido]]&gt;0,Tabela3[[#This Row],[Lucro Líquido]]/Tabela3[[#This Row],[Patrimônio Líquido]],0)/Tabela3[[#This Row],[Ref]]*4</f>
        <v>1.2851157742436775E-2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2.312588816579864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2.76</v>
      </c>
      <c r="AO427" s="44">
        <f>[Cotação]/[VPA]</f>
        <v>0.54318746520629047</v>
      </c>
      <c r="AP427" s="40">
        <f>IF(Tabela3[[#This Row],[Lucro/Ação]]&gt;0,Tabela3[[#This Row],[Cotação]]/(Tabela3[[#This Row],[Lucro/Ação]]/[Ref]*4),0)</f>
        <v>42.267589900681884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4.2142218285582071E-3</v>
      </c>
      <c r="AU427" s="19">
        <f>((1+Tabela3[[#This Row],[% Yield]])^(1/(3*Tabela3[[#This Row],[Ref]])))^(12)-1</f>
        <v>5.6229053409544427E-3</v>
      </c>
      <c r="AV427" s="14">
        <f>IF([Cotação]&gt;0,($BH$1/Tabela3[[#This Row],[Cotação]]-MOD($BH$1/Tabela3[[#This Row],[Cotação]],100)),)</f>
        <v>300</v>
      </c>
      <c r="AW427" s="17">
        <f>Tabela3[[#This Row],[Ativos]]*[Lucro]</f>
        <v>3.4893756740461952</v>
      </c>
      <c r="AX427" s="5">
        <f>SUMPRODUCT(N(Tabela1[Código]=Tabela3[[#This Row],[PAPEL]]),Tabela1[Fechamento])</f>
        <v>2.76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t="11.25" customHeight="1">
      <c r="A428" s="3" t="s">
        <v>1226</v>
      </c>
      <c r="B428" s="57" t="s">
        <v>1221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538937116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8" s="18">
        <f>IF(Tabela3[[#This Row],[Lucro Líquido]]&gt;0,Tabela3[[#This Row],[Lucro Líquido]]/Tabela3[[#This Row],[Patrimônio Líquido]],0)/Tabela3[[#This Row],[Ref]]*4</f>
        <v>4.1461028225942491E-2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2.312588816579864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74</v>
      </c>
      <c r="AO428" s="53">
        <f>[Cotação]/[VPA]</f>
        <v>1.0909879066377861</v>
      </c>
      <c r="AP428" s="37">
        <f>IF(Tabela3[[#This Row],[Lucro/Ação]]&gt;0,Tabela3[[#This Row],[Cotação]]/(Tabela3[[#This Row],[Lucro/Ação]]/[Ref]*4),0)</f>
        <v>26.313575743766684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6.5587001779017998E-3</v>
      </c>
      <c r="AU428" s="22">
        <f>((1+Tabela3[[#This Row],[% Yield]])^(1/(3*Tabela3[[#This Row],[Ref]])))^(12)-1</f>
        <v>8.754478908896024E-3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74</v>
      </c>
    </row>
    <row r="429" spans="1:54" ht="11.25" customHeight="1">
      <c r="A429" s="3" t="s">
        <v>1226</v>
      </c>
      <c r="B429" s="57" t="s">
        <v>1222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611693626.65999997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9" s="18">
        <f>IF(Tabela3[[#This Row],[Lucro Líquido]]&gt;0,Tabela3[[#This Row],[Lucro Líquido]]/Tabela3[[#This Row],[Patrimônio Líquido]],0)/Tabela3[[#This Row],[Ref]]*4</f>
        <v>4.1461028225942491E-2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2.312588816579864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83.99</v>
      </c>
      <c r="AO429" s="53">
        <f>[Cotação]/[VPA]</f>
        <v>1.2382712740338873</v>
      </c>
      <c r="AP429" s="37">
        <f>IF(Tabela3[[#This Row],[Lucro/Ação]]&gt;0,Tabela3[[#This Row],[Cotação]]/(Tabela3[[#This Row],[Lucro/Ação]]/[Ref]*4),0)</f>
        <v>29.865908469175181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6.3564495203305609E-3</v>
      </c>
      <c r="AU429" s="22">
        <f>((1+Tabela3[[#This Row],[% Yield]])^(1/(3*Tabela3[[#This Row],[Ref]])))^(12)-1</f>
        <v>8.484232144457815E-3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83.99</v>
      </c>
    </row>
    <row r="430" spans="1:54" ht="11.25" customHeight="1">
      <c r="A430" s="3" t="s">
        <v>1060</v>
      </c>
      <c r="B430" s="57" t="s">
        <v>1090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0" s="18">
        <f>IF(Tabela3[[#This Row],[Lucro Líquido]]&gt;0,Tabela3[[#This Row],[Lucro Líquido]]/Tabela3[[#This Row],[Patrimônio Líquido]],0)/Tabela3[[#This Row],[Ref]]*4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2.312588816579864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 ht="11.25" customHeight="1">
      <c r="A431" s="3" t="s">
        <v>1060</v>
      </c>
      <c r="B431" s="57" t="s">
        <v>1091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1" s="19">
        <f>IF(Tabela3[[#This Row],[Lucro Líquido]]&gt;0,Tabela3[[#This Row],[Lucro Líquido]]/Tabela3[[#This Row],[Patrimônio Líquido]],0)/Tabela3[[#This Row],[Ref]]*4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2.312588816579864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1500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 ht="11.25" customHeight="1">
      <c r="A432" s="3" t="s">
        <v>889</v>
      </c>
      <c r="B432" s="58" t="s">
        <v>979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270000000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2" s="18">
        <f>IF(Tabela3[[#This Row],[Lucro Líquido]]&gt;0,Tabela3[[#This Row],[Lucro Líquido]]/Tabela3[[#This Row],[Patrimônio Líquido]],0)/Tabela3[[#This Row],[Ref]]*4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2.312588816579864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1.35</v>
      </c>
      <c r="AO432" s="53">
        <f>[Cotação]/[VPA]</f>
        <v>0.23527033432785882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600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1.35</v>
      </c>
      <c r="BB432" s="7">
        <f>SUMPRODUCT(N(Tabela17683[Código]=Tabela3[[#This Row],[PAPEL]]),Tabela17683[Fechamento])</f>
        <v>0</v>
      </c>
    </row>
    <row r="433" spans="1:54" ht="11.25" customHeight="1">
      <c r="A433" s="3" t="s">
        <v>859</v>
      </c>
      <c r="B433" s="58" t="s">
        <v>860</v>
      </c>
      <c r="C433" s="16" t="str">
        <f>LEFT([PAPEL],LEN([PAPEL])-(LEN([PAPEL])-4))</f>
        <v>SHOW</v>
      </c>
      <c r="D433" s="16">
        <v>4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>
        <v>545361000</v>
      </c>
      <c r="N433" s="54">
        <v>210739000</v>
      </c>
      <c r="O433" s="54">
        <v>181119000</v>
      </c>
      <c r="P433" s="91">
        <v>325111000</v>
      </c>
      <c r="Q433" s="73">
        <v>-13317000</v>
      </c>
      <c r="R433" s="73">
        <f>IF(Tabela3[[#This Row],[Ativo || Passivo]]&gt;0,Tabela3[[#This Row],[Ativo || Passivo]]-Tabela3[[#This Row],[Patrimônio Líquido]],0)</f>
        <v>220250000</v>
      </c>
      <c r="S433" s="73">
        <f>Tabela3[[#This Row],[Cotação]]*Tabela3[[#This Row],[Total Ações]]</f>
        <v>317670451.10000002</v>
      </c>
      <c r="T433" s="37">
        <f>IF(Tabela3[[#This Row],[Passivo Circulante]]&gt;0,Tabela3[[#This Row],[Ativo Circulante]]/Tabela3[[#This Row],[Passivo Circulante]],0)</f>
        <v>1.1635388887968683</v>
      </c>
      <c r="U43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3" s="18">
        <f>IF(Tabela3[[#This Row],[Lucro Líquido]]&gt;0,Tabela3[[#This Row],[Lucro Líquido]]/Tabela3[[#This Row],[Patrimônio Líquido]],0)/Tabela3[[#This Row],[Ref]]*4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3" s="18">
        <f>IF(Tabela3[[#This Row],[Dívida]]&gt;0,Tabela3[[#This Row],[Dívida]]/Tabela3[[#This Row],[Patrimônio Líquido]],0)</f>
        <v>0.67746092872895713</v>
      </c>
      <c r="Y433" s="18">
        <f>SUMPRODUCT(N([Dívida / PL]&gt;0),N(RIGHT([PAPEL],LEN([PAPEL])-(LEN([PAPEL])-1))="3"),[Dívida / PL])/SUMPRODUCT(N([Dívida / PL]&gt;0),N(RIGHT([PAPEL],LEN([PAPEL])-(LEN([PAPEL])-1))="3"))</f>
        <v>2.312588816579864</v>
      </c>
      <c r="Z433" s="7">
        <f>Tabela3[[#This Row],[Capital Social]]*20%</f>
        <v>48604434.080000006</v>
      </c>
      <c r="AA433" s="47">
        <f>IF(([Lucro Líquido]*5%)&gt;[Teto R. Legal],[Teto R. Legal],[Lucro Líquido]*5%)</f>
        <v>-665850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-0.19032043991075503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4.6463369031933235</v>
      </c>
      <c r="AN433" s="52">
        <f>MAX(Tabela3[[#This Row],[Cotação 1]:[Cotação 5]])</f>
        <v>4.54</v>
      </c>
      <c r="AO433" s="53">
        <f>[Cotação]/[VPA]</f>
        <v>0.97711381989535873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100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4.54</v>
      </c>
      <c r="BB433" s="7">
        <f>SUMPRODUCT(N(Tabela17683[Código]=Tabela3[[#This Row],[PAPEL]]),Tabela17683[Fechamento])</f>
        <v>0</v>
      </c>
    </row>
    <row r="434" spans="1:54" ht="11.25" customHeight="1">
      <c r="A434" s="3" t="s">
        <v>1269</v>
      </c>
      <c r="B434" s="57" t="s">
        <v>1270</v>
      </c>
      <c r="C434" s="16" t="str">
        <f>LEFT([PAPEL],LEN([PAPEL])-(LEN([PAPEL])-4))</f>
        <v>SHUL</v>
      </c>
      <c r="D434" s="16">
        <v>4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>
        <v>958475000</v>
      </c>
      <c r="N434" s="54">
        <v>538847000</v>
      </c>
      <c r="O434" s="54">
        <v>197823000</v>
      </c>
      <c r="P434" s="91">
        <v>358721000</v>
      </c>
      <c r="Q434" s="73">
        <v>61497000</v>
      </c>
      <c r="R434" s="73">
        <f>IF(Tabela3[[#This Row],[Ativo || Passivo]]&gt;0,Tabela3[[#This Row],[Ativo || Passivo]]-Tabela3[[#This Row],[Patrimônio Líquido]],0)</f>
        <v>599754000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2.7238844825930251</v>
      </c>
      <c r="U43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4" s="18">
        <f>IF(Tabela3[[#This Row],[Lucro Líquido]]&gt;0,Tabela3[[#This Row],[Lucro Líquido]]/Tabela3[[#This Row],[Patrimônio Líquido]],0)/Tabela3[[#This Row],[Ref]]*4</f>
        <v>0.17143406714410364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4" s="18">
        <f>IF(Tabela3[[#This Row],[Dívida]]&gt;0,Tabela3[[#This Row],[Dívida]]/Tabela3[[#This Row],[Patrimônio Líquido]],0)</f>
        <v>1.6719233052985467</v>
      </c>
      <c r="Y434" s="18">
        <f>SUMPRODUCT(N([Dívida / PL]&gt;0),N(RIGHT([PAPEL],LEN([PAPEL])-(LEN([PAPEL])-1))="3"),[Dívida / PL])/SUMPRODUCT(N([Dívida / PL]&gt;0),N(RIGHT([PAPEL],LEN([PAPEL])-(LEN([PAPEL])-1))="3"))</f>
        <v>2.312588816579864</v>
      </c>
      <c r="Z434" s="7">
        <f>Tabela3[[#This Row],[Capital Social]]*20%</f>
        <v>40370559.608000003</v>
      </c>
      <c r="AA434" s="47">
        <f>IF(([Lucro Líquido]*5%)&gt;[Teto R. Legal],[Teto R. Legal],[Lucro Líquido]*5%)</f>
        <v>3074850</v>
      </c>
      <c r="AB434" s="47">
        <f>IF([Lucro Líquido]&lt;0,0,[Lucro Líquido]-[Reserva Legal])</f>
        <v>58422150</v>
      </c>
      <c r="AC434" s="47">
        <f>Tabela3[[#This Row],[Lucro Distribuir]]*[%Div]</f>
        <v>14605537.5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0.96363865141045191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4" s="7">
        <f>[Div Base]*[Ações]</f>
        <v>6046179.3243141109</v>
      </c>
      <c r="AL434" s="120">
        <f>SUMPRODUCT(N([Nome]=Tabela3[[#This Row],[Nome]]),[Div Base]*[Ações])</f>
        <v>14961596.138075691</v>
      </c>
      <c r="AM434" s="5">
        <f>[Patrimônio Líquido]/[Total Ações]</f>
        <v>5.6210452651773046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0.9154567188399293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t="11.25" customHeight="1">
      <c r="A435" s="3" t="s">
        <v>1269</v>
      </c>
      <c r="B435" s="57" t="s">
        <v>1271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>
        <v>958475000</v>
      </c>
      <c r="N435" s="54">
        <v>538847000</v>
      </c>
      <c r="O435" s="54">
        <v>197823000</v>
      </c>
      <c r="P435" s="91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650938398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5" s="18">
        <f>IF(Tabela3[[#This Row],[Lucro Líquido]]&gt;0,Tabela3[[#This Row],[Lucro Líquido]]/Tabela3[[#This Row],[Patrimônio Líquido]],0)/Tabela3[[#This Row],[Ref]]*4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2.312588816579864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0.96363865141045191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5" s="7">
        <f>[Div Base]*[Ações]</f>
        <v>8915416.8137615789</v>
      </c>
      <c r="AL435" s="120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10.199999999999999</v>
      </c>
      <c r="AO435" s="53">
        <f>[Cotação]/[VPA]</f>
        <v>1.8146091196222134</v>
      </c>
      <c r="AP435" s="37">
        <f>IF(Tabela3[[#This Row],[Lucro/Ação]]&gt;0,Tabela3[[#This Row],[Cotação]]/(Tabela3[[#This Row],[Lucro/Ação]]/[Ref]*4),0)</f>
        <v>10.584880530757598</v>
      </c>
      <c r="AQ435" s="85">
        <f>[Lucro Distribuir]/[Total Ações]</f>
        <v>0.9154567188399293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2.3913498001416102E-2</v>
      </c>
      <c r="AU435" s="22">
        <f>((1+Tabela3[[#This Row],[% Yield]])^(1/(3*Tabela3[[#This Row],[Ref]])))^(12)-1</f>
        <v>2.3913498001417066E-2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10.199999999999999</v>
      </c>
    </row>
    <row r="436" spans="1:54" ht="11.25" customHeight="1">
      <c r="A436" s="3" t="s">
        <v>842</v>
      </c>
      <c r="B436" s="58" t="s">
        <v>846</v>
      </c>
      <c r="C436" s="16" t="str">
        <f>LEFT([PAPEL],LEN([PAPEL])-(LEN([PAPEL])-4))</f>
        <v>SLCE</v>
      </c>
      <c r="D436" s="16">
        <v>3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/>
      <c r="N436" s="54"/>
      <c r="O436" s="54"/>
      <c r="P436" s="91">
        <v>2020656000</v>
      </c>
      <c r="Q436" s="73">
        <v>97449000</v>
      </c>
      <c r="R436" s="73">
        <f>IF(Tabela3[[#This Row],[Ativo || Passivo]]&gt;0,Tabela3[[#This Row],[Ativo || Passivo]]-Tabela3[[#This Row],[Patrimônio Líquido]],0)</f>
        <v>0</v>
      </c>
      <c r="S436" s="73">
        <f>Tabela3[[#This Row],[Cotação]]*Tabela3[[#This Row],[Total Ações]]</f>
        <v>1720816499.9999998</v>
      </c>
      <c r="T436" s="37">
        <f>IF(Tabela3[[#This Row],[Passivo Circulante]]&gt;0,Tabela3[[#This Row],[Ativo Circulante]]/Tabela3[[#This Row],[Passivo Circulante]],0)</f>
        <v>0</v>
      </c>
      <c r="U43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6" s="18">
        <f>IF(Tabela3[[#This Row],[Lucro Líquido]]&gt;0,Tabela3[[#This Row],[Lucro Líquido]]/Tabela3[[#This Row],[Patrimônio Líquido]],0)/Tabela3[[#This Row],[Ref]]*4</f>
        <v>6.430189007926139E-2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6" s="18">
        <f>IF(Tabela3[[#This Row],[Dívida]]&gt;0,Tabela3[[#This Row],[Dívida]]/Tabela3[[#This Row],[Patrimônio Líquido]],0)</f>
        <v>0</v>
      </c>
      <c r="Y436" s="18">
        <f>SUMPRODUCT(N([Dívida / PL]&gt;0),N(RIGHT([PAPEL],LEN([PAPEL])-(LEN([PAPEL])-1))="3"),[Dívida / PL])/SUMPRODUCT(N([Dívida / PL]&gt;0),N(RIGHT([PAPEL],LEN([PAPEL])-(LEN([PAPEL])-1))="3"))</f>
        <v>2.312588816579864</v>
      </c>
      <c r="Z436" s="7">
        <f>Tabela3[[#This Row],[Capital Social]]*20%</f>
        <v>111486781.97000001</v>
      </c>
      <c r="AA436" s="47">
        <f>IF(([Lucro Líquido]*5%)&gt;[Teto R. Legal],[Teto R. Legal],[Lucro Líquido]*5%)</f>
        <v>4872450</v>
      </c>
      <c r="AB436" s="47">
        <f>IF([Lucro Líquido]&lt;0,0,[Lucro Líquido]-[Reserva Legal])</f>
        <v>92576550</v>
      </c>
      <c r="AC436" s="47">
        <f>Tabela3[[#This Row],[Lucro Distribuir]]*[%Div]</f>
        <v>23144137.5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0.98535352258651632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0.23402146161429763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0.23402146161429763</v>
      </c>
      <c r="AK436" s="7">
        <f>[Div Base]*[Ações]</f>
        <v>23144137.5</v>
      </c>
      <c r="AL436" s="7">
        <f>SUMPRODUCT(N([Nome]=Tabela3[[#This Row],[Nome]]),[Div Base]*[Ações])</f>
        <v>23144137.5</v>
      </c>
      <c r="AM436" s="5">
        <f>[Patrimônio Líquido]/[Total Ações]</f>
        <v>20.431820824591117</v>
      </c>
      <c r="AN436" s="52">
        <f>MAX(Tabela3[[#This Row],[Cotação 1]:[Cotação 5]])</f>
        <v>17.399999999999999</v>
      </c>
      <c r="AO436" s="53">
        <f>[Cotação]/[VPA]</f>
        <v>0.85161279307314053</v>
      </c>
      <c r="AP436" s="37">
        <f>IF(Tabela3[[#This Row],[Lucro/Ação]]&gt;0,Tabela3[[#This Row],[Cotação]]/(Tabela3[[#This Row],[Lucro/Ação]]/[Ref]*4),0)</f>
        <v>13.243977619062278</v>
      </c>
      <c r="AQ436" s="85">
        <f>[Lucro Distribuir]/[Total Ações]</f>
        <v>0.93608584645719051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0.23402146161429763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1.3449509288178025E-2</v>
      </c>
      <c r="AU436" s="22">
        <f>((1+Tabela3[[#This Row],[% Yield]])^(1/(3*Tabela3[[#This Row],[Ref]])))^(12)-1</f>
        <v>1.7972757199784528E-2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17.399999999999999</v>
      </c>
      <c r="BB436" s="7">
        <f>SUMPRODUCT(N(Tabela17683[Código]=Tabela3[[#This Row],[PAPEL]]),Tabela17683[Fechamento])</f>
        <v>0</v>
      </c>
    </row>
    <row r="437" spans="1:54" ht="11.25" customHeight="1">
      <c r="A437" s="3" t="s">
        <v>1011</v>
      </c>
      <c r="B437" s="58" t="s">
        <v>1018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686306952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7" s="18">
        <f>IF(Tabela3[[#This Row],[Lucro Líquido]]&gt;0,Tabela3[[#This Row],[Lucro Líquido]]/Tabela3[[#This Row],[Patrimônio Líquido]],0)/Tabela3[[#This Row],[Ref]]*4</f>
        <v>2.7218575630999862E-3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2.312588816579864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24</v>
      </c>
      <c r="AO437" s="53">
        <f>[Cotação]/[VPA]</f>
        <v>1.3471368518576678</v>
      </c>
      <c r="AP437" s="37">
        <f>IF(Tabela3[[#This Row],[Lucro/Ação]]&gt;0,Tabela3[[#This Row],[Cotação]]/(Tabela3[[#This Row],[Lucro/Ação]]/[Ref]*4),0)</f>
        <v>494.9328980769231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3.5989727232137956E-4</v>
      </c>
      <c r="AU437" s="22">
        <f>((1+Tabela3[[#This Row],[% Yield]])^(1/(3*Tabela3[[#This Row],[Ref]])))^(12)-1</f>
        <v>4.7989181102470191E-4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24</v>
      </c>
      <c r="BB437" s="7">
        <f>SUMPRODUCT(N(Tabela17683[Código]=Tabela3[[#This Row],[PAPEL]]),Tabela17683[Fechamento])</f>
        <v>0</v>
      </c>
    </row>
    <row r="438" spans="1:54" ht="11.25" customHeight="1">
      <c r="A438" s="3" t="s">
        <v>1011</v>
      </c>
      <c r="B438" s="58" t="s">
        <v>1019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608239536.21000004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8" s="18">
        <f>IF(Tabela3[[#This Row],[Lucro Líquido]]&gt;0,Tabela3[[#This Row],[Lucro Líquido]]/Tabela3[[#This Row],[Patrimônio Líquido]],0)/Tabela3[[#This Row],[Ref]]*4</f>
        <v>2.7218575630999862E-3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2.312588816579864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21.27</v>
      </c>
      <c r="AO438" s="53">
        <f>[Cotação]/[VPA]</f>
        <v>1.1939000349588582</v>
      </c>
      <c r="AP438" s="37">
        <f>IF(Tabela3[[#This Row],[Lucro/Ação]]&gt;0,Tabela3[[#This Row],[Cotação]]/(Tabela3[[#This Row],[Lucro/Ação]]/[Ref]*4),0)</f>
        <v>438.63428092067306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4.0609001108195156E-4</v>
      </c>
      <c r="AU438" s="22">
        <f>((1+Tabela3[[#This Row],[% Yield]])^(1/(3*Tabela3[[#This Row],[Ref]])))^(12)-1</f>
        <v>5.4148999126946151E-4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21.27</v>
      </c>
      <c r="BB438" s="7">
        <f>SUMPRODUCT(N(Tabela17683[Código]=Tabela3[[#This Row],[PAPEL]]),Tabela17683[Fechamento])</f>
        <v>0</v>
      </c>
    </row>
    <row r="439" spans="1:54" ht="11.25" customHeight="1">
      <c r="A439" s="3" t="s">
        <v>260</v>
      </c>
      <c r="B439" s="58" t="s">
        <v>263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3336890000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9" s="18">
        <f>IF(Tabela3[[#This Row],[Lucro Líquido]]&gt;0,Tabela3[[#This Row],[Lucro Líquido]]/Tabela3[[#This Row],[Patrimônio Líquido]],0)/Tabela3[[#This Row],[Ref]]*4</f>
        <v>6.1426953625589177E-2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2.312588816579864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29.53</v>
      </c>
      <c r="AO439" s="53">
        <f>[Cotação]/[VPA]</f>
        <v>1.6078150966142259</v>
      </c>
      <c r="AP439" s="37">
        <f>IF(Tabela3[[#This Row],[Lucro/Ação]]&gt;0,Tabela3[[#This Row],[Cotação]]/(Tabela3[[#This Row],[Lucro/Ação]]/[Ref]*4),0)</f>
        <v>26.174423469120956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6.8053074869114652E-3</v>
      </c>
      <c r="AU439" s="18">
        <f>((1+Tabela3[[#This Row],[% Yield]])^(1/(3*Tabela3[[#This Row],[Ref]])))^(12)-1</f>
        <v>9.0840193981822637E-3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29.53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29.53</v>
      </c>
      <c r="BB439" s="7">
        <f>SUMPRODUCT(N(Tabela17683[Código]=Tabela3[[#This Row],[PAPEL]]),Tabela17683[Fechamento])</f>
        <v>0</v>
      </c>
    </row>
    <row r="440" spans="1:54" ht="11.25" customHeight="1">
      <c r="A440" s="4" t="s">
        <v>562</v>
      </c>
      <c r="B440" s="57" t="s">
        <v>569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0" s="19">
        <f>IF(Tabela3[[#This Row],[Lucro Líquido]]&gt;0,Tabela3[[#This Row],[Lucro Líquido]]/Tabela3[[#This Row],[Patrimônio Líquido]],0)/Tabela3[[#This Row],[Ref]]*4</f>
        <v>0.10321957544035637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2.312588816579864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A.A.]&gt;=5%,SUMPRODUCT(N([Nome]=Tabela3[[#This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 ht="11.25" customHeight="1">
      <c r="A441" s="4" t="s">
        <v>315</v>
      </c>
      <c r="B441" s="126" t="s">
        <v>655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1" s="19">
        <f>IF(Tabela3[[#This Row],[Lucro Líquido]]&gt;0,Tabela3[[#This Row],[Lucro Líquido]]/Tabela3[[#This Row],[Patrimônio Líquido]],0)/Tabela3[[#This Row],[Ref]]*4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2.312588816579864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400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t="11.25" customHeight="1">
      <c r="A442" s="4" t="s">
        <v>315</v>
      </c>
      <c r="B442" s="126" t="s">
        <v>656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14468341.5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2" s="19">
        <f>IF(Tabela3[[#This Row],[Lucro Líquido]]&gt;0,Tabela3[[#This Row],[Lucro Líquido]]/Tabela3[[#This Row],[Patrimônio Líquido]],0)/Tabela3[[#This Row],[Ref]]*4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2.312588816579864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0.75</v>
      </c>
      <c r="AO442" s="44">
        <f>[Cotação]/[VPA]</f>
        <v>-4.12563131961197E-2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1200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0.75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t="11.25" customHeight="1">
      <c r="A443" s="4" t="s">
        <v>315</v>
      </c>
      <c r="B443" s="126" t="s">
        <v>657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3" s="19">
        <f>IF(Tabela3[[#This Row],[Lucro Líquido]]&gt;0,Tabela3[[#This Row],[Lucro Líquido]]/Tabela3[[#This Row],[Patrimônio Líquido]],0)/Tabela3[[#This Row],[Ref]]*4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2.312588816579864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300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t="11.25" customHeight="1">
      <c r="A444" s="3" t="s">
        <v>1140</v>
      </c>
      <c r="B444" s="57" t="s">
        <v>1128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4" s="18">
        <f>IF(Tabela3[[#This Row],[Lucro Líquido]]&gt;0,Tabela3[[#This Row],[Lucro Líquido]]/Tabela3[[#This Row],[Patrimônio Líquido]],0)/Tabela3[[#This Row],[Ref]]*4</f>
        <v>7.183540194059479E-2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2.312588816579864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 ht="11.25" customHeight="1">
      <c r="A445" s="3" t="s">
        <v>1140</v>
      </c>
      <c r="B445" s="57" t="s">
        <v>1129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98316000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5" s="18">
        <f>IF(Tabela3[[#This Row],[Lucro Líquido]]&gt;0,Tabela3[[#This Row],[Lucro Líquido]]/Tabela3[[#This Row],[Patrimônio Líquido]],0)/Tabela3[[#This Row],[Ref]]*4</f>
        <v>7.183540194059479E-2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2.312588816579864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40</v>
      </c>
      <c r="AO445" s="53">
        <f>[Cotação]/[VPA]</f>
        <v>1.094406411754884</v>
      </c>
      <c r="AP445" s="37">
        <f>IF(Tabela3[[#This Row],[Lucro/Ação]]&gt;0,Tabela3[[#This Row],[Cotação]]/(Tabela3[[#This Row],[Lucro/Ação]]/[Ref]*4),0)</f>
        <v>15.234917355371902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3.4785792749908458E-2</v>
      </c>
      <c r="AU445" s="22">
        <f>((1+Tabela3[[#This Row],[% Yield]])^(1/(3*Tabela3[[#This Row],[Ref]])))^(12)-1</f>
        <v>4.6647908239930924E-2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40</v>
      </c>
    </row>
    <row r="446" spans="1:54" ht="11.25" customHeight="1">
      <c r="A446" s="3" t="s">
        <v>1140</v>
      </c>
      <c r="B446" s="57" t="s">
        <v>1130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6" s="18">
        <f>IF(Tabela3[[#This Row],[Lucro Líquido]]&gt;0,Tabela3[[#This Row],[Lucro Líquido]]/Tabela3[[#This Row],[Patrimônio Líquido]],0)/Tabela3[[#This Row],[Ref]]*4</f>
        <v>7.183540194059479E-2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2.312588816579864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 ht="11.25" customHeight="1">
      <c r="A447" s="3" t="s">
        <v>868</v>
      </c>
      <c r="B447" s="58" t="s">
        <v>1053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7" s="18">
        <f>IF(Tabela3[[#This Row],[Lucro Líquido]]&gt;0,Tabela3[[#This Row],[Lucro Líquido]]/Tabela3[[#This Row],[Patrimônio Líquido]],0)/Tabela3[[#This Row],[Ref]]*4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2.312588816579864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2300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 ht="11.25" customHeight="1">
      <c r="A448" s="3" t="s">
        <v>868</v>
      </c>
      <c r="B448" s="58" t="s">
        <v>1054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8" s="18">
        <f>IF(Tabela3[[#This Row],[Lucro Líquido]]&gt;0,Tabela3[[#This Row],[Lucro Líquido]]/Tabela3[[#This Row],[Patrimônio Líquido]],0)/Tabela3[[#This Row],[Ref]]*4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2.312588816579864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2500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 ht="11.25" customHeight="1">
      <c r="A449" s="3" t="s">
        <v>868</v>
      </c>
      <c r="B449" s="58" t="s">
        <v>1055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46794281.100000001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9" s="18">
        <f>IF(Tabela3[[#This Row],[Lucro Líquido]]&gt;0,Tabela3[[#This Row],[Lucro Líquido]]/Tabela3[[#This Row],[Patrimônio Líquido]],0)/Tabela3[[#This Row],[Ref]]*4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2.312588816579864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0.37</v>
      </c>
      <c r="AO449" s="53">
        <f>[Cotação]/[VPA]</f>
        <v>0.43673788884222314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2400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0.37</v>
      </c>
      <c r="BB449" s="7">
        <f>SUMPRODUCT(N(Tabela17683[Código]=Tabela3[[#This Row],[PAPEL]]),Tabela17683[Fechamento])</f>
        <v>0</v>
      </c>
    </row>
    <row r="450" spans="1:54" ht="11.25" customHeight="1">
      <c r="A450" s="3" t="s">
        <v>336</v>
      </c>
      <c r="B450" s="57" t="s">
        <v>349</v>
      </c>
      <c r="C450" s="82" t="str">
        <f>LEFT([PAPEL],LEN([PAPEL])-(LEN([PAPEL])-4))</f>
        <v>SSBR</v>
      </c>
      <c r="D450" s="16">
        <v>4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>
        <v>2600734000</v>
      </c>
      <c r="N450" s="54">
        <v>282818000</v>
      </c>
      <c r="O450" s="54">
        <v>49971000</v>
      </c>
      <c r="P450" s="5">
        <v>2230611000</v>
      </c>
      <c r="Q450" s="5">
        <v>225951000</v>
      </c>
      <c r="R450" s="5">
        <f>IF(Tabela3[[#This Row],[Ativo || Passivo]]&gt;0,Tabela3[[#This Row],[Ativo || Passivo]]-Tabela3[[#This Row],[Patrimônio Líquido]],0)</f>
        <v>370123000</v>
      </c>
      <c r="S450" s="5">
        <f>Tabela3[[#This Row],[Cotação]]*Tabela3[[#This Row],[Total Ações]]</f>
        <v>1188390572.05</v>
      </c>
      <c r="T450" s="130">
        <f>IF(Tabela3[[#This Row],[Passivo Circulante]]&gt;0,Tabela3[[#This Row],[Ativo Circulante]]/Tabela3[[#This Row],[Passivo Circulante]],0)</f>
        <v>5.6596425927037686</v>
      </c>
      <c r="U45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0" s="18">
        <f>IF(Tabela3[[#This Row],[Lucro Líquido]]&gt;0,Tabela3[[#This Row],[Lucro Líquido]]/Tabela3[[#This Row],[Patrimônio Líquido]],0)/Tabela3[[#This Row],[Ref]]*4</f>
        <v>0.10129556430950981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0" s="18">
        <f>IF(Tabela3[[#This Row],[Dívida]]&gt;0,Tabela3[[#This Row],[Dívida]]/Tabela3[[#This Row],[Patrimônio Líquido]],0)</f>
        <v>0.1659289764104992</v>
      </c>
      <c r="Y450" s="18">
        <f>SUMPRODUCT(N([Dívida / PL]&gt;0),N(RIGHT([PAPEL],LEN([PAPEL])-(LEN([PAPEL])-1))="3"),[Dívida / PL])/SUMPRODUCT(N([Dívida / PL]&gt;0),N(RIGHT([PAPEL],LEN([PAPEL])-(LEN([PAPEL])-1))="3"))</f>
        <v>2.312588816579864</v>
      </c>
      <c r="Z450" s="5">
        <f>Tabela3[[#This Row],[Capital Social]]*20%</f>
        <v>199573164.60000002</v>
      </c>
      <c r="AA450" s="5">
        <f>IF(([Lucro Líquido]*5%)&gt;[Teto R. Legal],[Teto R. Legal],[Lucro Líquido]*5%)</f>
        <v>11297550</v>
      </c>
      <c r="AB450" s="5">
        <f>IF([Lucro Líquido]&lt;0,0,[Lucro Líquido]-[Reserva Legal])</f>
        <v>214653450</v>
      </c>
      <c r="AC450" s="5">
        <f>Tabela3[[#This Row],[Lucro Distribuir]]*[%Div]</f>
        <v>53663362.5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2.9565516023398515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0" s="5">
        <f>[Div Base]*[Ações]</f>
        <v>53663362.5</v>
      </c>
      <c r="AL450" s="5">
        <f>SUMPRODUCT(N([Nome]=Tabela3[[#This Row],[Nome]]),[Div Base]*[Ações])</f>
        <v>53663362.5</v>
      </c>
      <c r="AM450" s="5">
        <f>[Patrimônio Líquido]/[Total Ações]</f>
        <v>29.187374812445611</v>
      </c>
      <c r="AN450" s="52">
        <f>MAX(Tabela3[[#This Row],[Cotação 1]:[Cotação 5]])</f>
        <v>15.55</v>
      </c>
      <c r="AO450" s="53">
        <f>[Cotação]/[VPA]</f>
        <v>0.53276459770439577</v>
      </c>
      <c r="AP450" s="37">
        <f>IF(Tabela3[[#This Row],[Lucro/Ação]]&gt;0,Tabela3[[#This Row],[Cotação]]/(Tabela3[[#This Row],[Lucro/Ação]]/[Ref]*4),0)</f>
        <v>5.2595056983593791</v>
      </c>
      <c r="AQ450" s="77">
        <f>[Lucro Distribuir]/[Total Ações]</f>
        <v>2.8087240222228589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0" s="16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4.5156334762425379E-2</v>
      </c>
      <c r="AU450" s="18">
        <f>((1+Tabela3[[#This Row],[% Yield]])^(1/(3*Tabela3[[#This Row],[Ref]])))^(12)-1</f>
        <v>4.5156334762426642E-2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15.55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t="11.25" customHeight="1">
      <c r="A451" s="3" t="s">
        <v>1183</v>
      </c>
      <c r="B451" s="57" t="s">
        <v>1187</v>
      </c>
      <c r="C451" s="16" t="str">
        <f>LEFT([PAPEL],LEN([PAPEL])-(LEN([PAPEL])-4))</f>
        <v>STBP</v>
      </c>
      <c r="D451" s="16">
        <v>4</v>
      </c>
      <c r="E451" s="5">
        <v>1071077315.22</v>
      </c>
      <c r="F451" s="56"/>
      <c r="G451" s="81">
        <v>0.25</v>
      </c>
      <c r="H451" s="87"/>
      <c r="J451" s="18"/>
      <c r="K451" s="16">
        <v>1</v>
      </c>
      <c r="L451" s="87">
        <v>4</v>
      </c>
      <c r="M451" s="54">
        <v>2144669000</v>
      </c>
      <c r="N451" s="54">
        <v>254441000</v>
      </c>
      <c r="O451" s="54">
        <v>354195000</v>
      </c>
      <c r="P451" s="91">
        <v>1447969000</v>
      </c>
      <c r="Q451" s="73">
        <v>255060000</v>
      </c>
      <c r="R451" s="73">
        <f>IF(Tabela3[[#This Row],[Ativo || Passivo]]&gt;0,Tabela3[[#This Row],[Ativo || Passivo]]-Tabela3[[#This Row],[Patrimônio Líquido]],0)</f>
        <v>696700000</v>
      </c>
      <c r="S451" s="73">
        <f>Tabela3[[#This Row],[Cotação]]*Tabela3[[#This Row],[Total Ações]]</f>
        <v>10271054662.68</v>
      </c>
      <c r="T451" s="37">
        <f>IF(Tabela3[[#This Row],[Passivo Circulante]]&gt;0,Tabela3[[#This Row],[Ativo Circulante]]/Tabela3[[#This Row],[Passivo Circulante]],0)</f>
        <v>0.71836417792458951</v>
      </c>
      <c r="U45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1" s="18">
        <f>IF(Tabela3[[#This Row],[Lucro Líquido]]&gt;0,Tabela3[[#This Row],[Lucro Líquido]]/Tabela3[[#This Row],[Patrimônio Líquido]],0)/Tabela3[[#This Row],[Ref]]*4</f>
        <v>0.17615018001075991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1" s="18">
        <f>IF(Tabela3[[#This Row],[Dívida]]&gt;0,Tabela3[[#This Row],[Dívida]]/Tabela3[[#This Row],[Patrimônio Líquido]],0)</f>
        <v>0.48115670984668868</v>
      </c>
      <c r="Y451" s="18">
        <f>SUMPRODUCT(N([Dívida / PL]&gt;0),N(RIGHT([PAPEL],LEN([PAPEL])-(LEN([PAPEL])-1))="3"),[Dívida / PL])/SUMPRODUCT(N([Dívida / PL]&gt;0),N(RIGHT([PAPEL],LEN([PAPEL])-(LEN([PAPEL])-1))="3"))</f>
        <v>2.312588816579864</v>
      </c>
      <c r="Z451" s="7">
        <f>Tabela3[[#This Row],[Capital Social]]*20%</f>
        <v>214215463.04400003</v>
      </c>
      <c r="AA451" s="47">
        <f>IF(([Lucro Líquido]*5%)&gt;[Teto R. Legal],[Teto R. Legal],[Lucro Líquido]*5%)</f>
        <v>12753000</v>
      </c>
      <c r="AB451" s="47">
        <f>IF([Lucro Líquido]&lt;0,0,[Lucro Líquido]-[Reserva Legal])</f>
        <v>242307000</v>
      </c>
      <c r="AC451" s="47">
        <f>Tabela3[[#This Row],[Lucro Distribuir]]*[%Div]</f>
        <v>60576750</v>
      </c>
      <c r="AD451" s="56">
        <f>SUMPRODUCT(N([Nome]=Tabela3[[#This Row],[Nome]]),[Ações])</f>
        <v>666086554</v>
      </c>
      <c r="AE451" s="85">
        <f>[Capital Social]/[Total Ações]</f>
        <v>1.6080152178240787</v>
      </c>
      <c r="AF451" s="85">
        <f>Tabela3[[#This Row],[Lucro Líquido]]/Tabela3[[#This Row],[Total Ações]]</f>
        <v>0.38292320790489942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2.1738451126278102</v>
      </c>
      <c r="AN451" s="52">
        <f>MAX(Tabela3[[#This Row],[Cotação 1]:[Cotação 5]])</f>
        <v>15.42</v>
      </c>
      <c r="AO451" s="53">
        <f>[Cotação]/[VPA]</f>
        <v>7.0934216565962389</v>
      </c>
      <c r="AP451" s="37">
        <f>IF(Tabela3[[#This Row],[Lucro/Ação]]&gt;0,Tabela3[[#This Row],[Cotação]]/(Tabela3[[#This Row],[Lucro/Ação]]/[Ref]*4),0)</f>
        <v>40.269170637026576</v>
      </c>
      <c r="AQ451" s="85">
        <f>[Lucro Distribuir]/[Total Ações]</f>
        <v>0.36377704750965445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2.9489060271534893E-2</v>
      </c>
      <c r="AU451" s="22">
        <f>((1+Tabela3[[#This Row],[% Yield]])^(1/(3*Tabela3[[#This Row],[Ref]])))^(12)-1</f>
        <v>2.9489060271534306E-2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15.42</v>
      </c>
    </row>
    <row r="452" spans="1:54" ht="11.25" customHeight="1">
      <c r="A452" s="3" t="s">
        <v>1183</v>
      </c>
      <c r="B452" s="57" t="s">
        <v>1188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>
        <v>2144669000</v>
      </c>
      <c r="N452" s="54">
        <v>254441000</v>
      </c>
      <c r="O452" s="54">
        <v>354195000</v>
      </c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696700000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0.71836417792458951</v>
      </c>
      <c r="U45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2" s="18">
        <f>IF(Tabela3[[#This Row],[Lucro Líquido]]&gt;0,Tabela3[[#This Row],[Lucro Líquido]]/Tabela3[[#This Row],[Patrimônio Líquido]],0)/Tabela3[[#This Row],[Ref]]*4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2" s="18">
        <f>IF(Tabela3[[#This Row],[Dívida]]&gt;0,Tabela3[[#This Row],[Dívida]]/Tabela3[[#This Row],[Patrimônio Líquido]],0)</f>
        <v>0.48115670984668868</v>
      </c>
      <c r="Y452" s="18">
        <f>SUMPRODUCT(N([Dívida / PL]&gt;0),N(RIGHT([PAPEL],LEN([PAPEL])-(LEN([PAPEL])-1))="3"),[Dívida / PL])/SUMPRODUCT(N([Dívida / PL]&gt;0),N(RIGHT([PAPEL],LEN([PAPEL])-(LEN([PAPEL])-1))="3"))</f>
        <v>2.312588816579864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t="11.25" customHeight="1">
      <c r="A453" s="3" t="s">
        <v>1183</v>
      </c>
      <c r="B453" s="57" t="s">
        <v>1189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>
        <v>2144669000</v>
      </c>
      <c r="N453" s="54">
        <v>254441000</v>
      </c>
      <c r="O453" s="54">
        <v>354195000</v>
      </c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696700000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0.71836417792458951</v>
      </c>
      <c r="U45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3" s="18">
        <f>IF(Tabela3[[#This Row],[Lucro Líquido]]&gt;0,Tabela3[[#This Row],[Lucro Líquido]]/Tabela3[[#This Row],[Patrimônio Líquido]],0)/Tabela3[[#This Row],[Ref]]*4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3" s="18">
        <f>IF(Tabela3[[#This Row],[Dívida]]&gt;0,Tabela3[[#This Row],[Dívida]]/Tabela3[[#This Row],[Patrimônio Líquido]],0)</f>
        <v>0.48115670984668868</v>
      </c>
      <c r="Y453" s="18">
        <f>SUMPRODUCT(N([Dívida / PL]&gt;0),N(RIGHT([PAPEL],LEN([PAPEL])-(LEN([PAPEL])-1))="3"),[Dívida / PL])/SUMPRODUCT(N([Dívida / PL]&gt;0),N(RIGHT([PAPEL],LEN([PAPEL])-(LEN([PAPEL])-1))="3"))</f>
        <v>2.312588816579864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t="11.25" customHeight="1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4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>
        <v>4172250000</v>
      </c>
      <c r="N454" s="54">
        <v>393710000</v>
      </c>
      <c r="O454" s="54">
        <v>94664000</v>
      </c>
      <c r="P454" s="6">
        <v>3576748000</v>
      </c>
      <c r="Q454" s="6">
        <v>480429000</v>
      </c>
      <c r="R454" s="6">
        <f>IF(Tabela3[[#This Row],[Ativo || Passivo]]&gt;0,Tabela3[[#This Row],[Ativo || Passivo]]-Tabela3[[#This Row],[Patrimônio Líquido]],0)</f>
        <v>595502000</v>
      </c>
      <c r="S454" s="6">
        <f>Tabela3[[#This Row],[Cotação]]*Tabela3[[#This Row],[Total Ações]]</f>
        <v>14668648824.549999</v>
      </c>
      <c r="T454" s="132">
        <f>IF(Tabela3[[#This Row],[Passivo Circulante]]&gt;0,Tabela3[[#This Row],[Ativo Circulante]]/Tabela3[[#This Row],[Passivo Circulante]],0)</f>
        <v>4.159025606355109</v>
      </c>
      <c r="U45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4" s="19">
        <f>IF(Tabela3[[#This Row],[Lucro Líquido]]&gt;0,Tabela3[[#This Row],[Lucro Líquido]]/Tabela3[[#This Row],[Patrimônio Líquido]],0)/Tabela3[[#This Row],[Ref]]*4</f>
        <v>0.13432005833231753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4" s="19">
        <f>IF(Tabela3[[#This Row],[Dívida]]&gt;0,Tabela3[[#This Row],[Dívida]]/Tabela3[[#This Row],[Patrimônio Líquido]],0)</f>
        <v>0.16649257929269828</v>
      </c>
      <c r="Y454" s="19">
        <f>SUMPRODUCT(N([Dívida / PL]&gt;0),N(RIGHT([PAPEL],LEN([PAPEL])-(LEN([PAPEL])-1))="3"),[Dívida / PL])/SUMPRODUCT(N([Dívida / PL]&gt;0),N(RIGHT([PAPEL],LEN([PAPEL])-(LEN([PAPEL])-1))="3"))</f>
        <v>2.312588816579864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480429000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0.46999258298839919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114101887.5</v>
      </c>
      <c r="AM454" s="5">
        <f>[Patrimônio Líquido]/[Total Ações]</f>
        <v>3.4990498725484738</v>
      </c>
      <c r="AN454" s="52">
        <f>MAX(Tabela3[[#This Row],[Cotação 1]:[Cotação 5]])</f>
        <v>14.35</v>
      </c>
      <c r="AO454" s="53">
        <f>[Cotação]/[VPA]</f>
        <v>4.1011133086675384</v>
      </c>
      <c r="AP454" s="37">
        <f>IF(Tabela3[[#This Row],[Lucro/Ação]]&gt;0,Tabela3[[#This Row],[Cotação]]/(Tabela3[[#This Row],[Lucro/Ação]]/[Ref]*4),0)</f>
        <v>30.532396721575925</v>
      </c>
      <c r="AQ454" s="77">
        <f>[Lucro Distribuir]/[Total Ações]</f>
        <v>0.46999258298839919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4" s="16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2.3335868667542468E-2</v>
      </c>
      <c r="AU454" s="18">
        <f>((1+Tabela3[[#This Row],[% Yield]])^(1/(3*Tabela3[[#This Row],[Ref]])))^(12)-1</f>
        <v>2.3335868667542226E-2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14.35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t="11.25" customHeight="1">
      <c r="A455" s="4" t="s">
        <v>26</v>
      </c>
      <c r="B455" s="57" t="s">
        <v>688</v>
      </c>
      <c r="C455" s="82" t="str">
        <f>LEFT([PAPEL],LEN([PAPEL])-(LEN([PAPEL])-4))</f>
        <v>SULA</v>
      </c>
      <c r="D455" s="16">
        <v>4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4.159025606355109</v>
      </c>
      <c r="U45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5" s="19">
        <f>IF(Tabela3[[#This Row],[Lucro Líquido]]&gt;0,Tabela3[[#This Row],[Lucro Líquido]]/Tabela3[[#This Row],[Patrimônio Líquido]],0)/Tabela3[[#This Row],[Ref]]*4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2.312588816579864</v>
      </c>
      <c r="Z455" s="5">
        <f>Tabela3[[#This Row],[Capital Social]]*20%</f>
        <v>463976469.37</v>
      </c>
      <c r="AA455" s="5">
        <f>IF(([Lucro Líquido]*5%)&gt;[Teto R. Legal],[Teto R. Legal],[Lucro Líquido]*5%)</f>
        <v>24021450</v>
      </c>
      <c r="AB455" s="5">
        <f>IF([Lucro Líquido]&lt;0,0,[Lucro Líquido]-[Reserva Legal])</f>
        <v>456407550</v>
      </c>
      <c r="AC455" s="5">
        <f>Tabela3[[#This Row],[Lucro Distribuir]]*[%Div]</f>
        <v>114101887.5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0.46999258298839919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5" s="5">
        <f>[Div Base]*[Ações]</f>
        <v>57191579.821542107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0.44649295383897925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t="11.25" customHeight="1">
      <c r="A456" s="4" t="s">
        <v>26</v>
      </c>
      <c r="B456" s="57" t="s">
        <v>689</v>
      </c>
      <c r="C456" s="82" t="str">
        <f>LEFT([PAPEL],LEN([PAPEL])-(LEN([PAPEL])-4))</f>
        <v>SULA</v>
      </c>
      <c r="D456" s="15">
        <v>4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4.159025606355109</v>
      </c>
      <c r="U45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6" s="19">
        <f>IF(Tabela3[[#This Row],[Lucro Líquido]]&gt;0,Tabela3[[#This Row],[Lucro Líquido]]/Tabela3[[#This Row],[Patrimônio Líquido]],0)/Tabela3[[#This Row],[Ref]]*4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2.312588816579864</v>
      </c>
      <c r="Z456" s="6">
        <f>Tabela3[[#This Row],[Capital Social]]*20%</f>
        <v>463976469.37</v>
      </c>
      <c r="AA456" s="6">
        <f>IF(([Lucro Líquido]*5%)&gt;[Teto R. Legal],[Teto R. Legal],[Lucro Líquido]*5%)</f>
        <v>24021450</v>
      </c>
      <c r="AB456" s="6">
        <f>IF([Lucro Líquido]&lt;0,0,[Lucro Líquido]-[Reserva Legal])</f>
        <v>456407550</v>
      </c>
      <c r="AC456" s="6">
        <f>Tabela3[[#This Row],[Lucro Distribuir]]*[%Div]</f>
        <v>114101887.5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0.46999258298839919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6">
        <f>[Div Base]*[Ações]</f>
        <v>56910307.678457901</v>
      </c>
      <c r="AL456" s="6">
        <f>SUMPRODUCT(N([Nome]=Tabela3[[#This Row],[Nome]]),[Div Base]*[Ações])</f>
        <v>114101887.5</v>
      </c>
      <c r="AM456" s="6">
        <f>[Patrimônio Líquido]/[Total Ações]</f>
        <v>3.4990498725484738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0.44649295383897925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5" t="str">
        <f>IF(AND([% A.A.]&gt;=5%,SUMPRODUCT(N([Nome]=Tabela3[[#This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t="11.25" customHeight="1">
      <c r="A457" s="3" t="s">
        <v>1126</v>
      </c>
      <c r="B457" s="57" t="s">
        <v>1109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7" s="18">
        <f>IF(Tabela3[[#This Row],[Lucro Líquido]]&gt;0,Tabela3[[#This Row],[Lucro Líquido]]/Tabela3[[#This Row],[Patrimônio Líquido]],0)/Tabela3[[#This Row],[Ref]]*4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2.312588816579864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A.A.]&gt;=5%,SUMPRODUCT(N([Nome]=Tabela3[[#This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700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 ht="11.25" customHeight="1">
      <c r="A458" s="3" t="s">
        <v>1126</v>
      </c>
      <c r="B458" s="57" t="s">
        <v>1110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13482000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8" s="18">
        <f>IF(Tabela3[[#This Row],[Lucro Líquido]]&gt;0,Tabela3[[#This Row],[Lucro Líquido]]/Tabela3[[#This Row],[Patrimônio Líquido]],0)/Tabela3[[#This Row],[Ref]]*4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2.312588816579864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1.07</v>
      </c>
      <c r="AO458" s="53">
        <f>[Cotação]/[VPA]</f>
        <v>6.7869476354922825E-2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800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1.07</v>
      </c>
    </row>
    <row r="459" spans="1:54" ht="11.25" customHeight="1">
      <c r="A459" s="4" t="s">
        <v>19</v>
      </c>
      <c r="B459" s="57" t="s">
        <v>673</v>
      </c>
      <c r="C459" s="82" t="str">
        <f>LEFT([PAPEL],LEN([PAPEL])-(LEN([PAPEL])-4))</f>
        <v>SUZB</v>
      </c>
      <c r="D459" s="15">
        <v>3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/>
      <c r="N459" s="55"/>
      <c r="O459" s="55"/>
      <c r="P459" s="6">
        <v>10702169000</v>
      </c>
      <c r="Q459" s="6">
        <v>-162427000</v>
      </c>
      <c r="R459" s="6">
        <f>IF(Tabela3[[#This Row],[Ativo || Passivo]]&gt;0,Tabela3[[#This Row],[Ativo || Passivo]]-Tabela3[[#This Row],[Patrimônio Líquido]],0)</f>
        <v>0</v>
      </c>
      <c r="S459" s="6">
        <f>Tabela3[[#This Row],[Cotação]]*Tabela3[[#This Row],[Total Ações]]</f>
        <v>4430954708</v>
      </c>
      <c r="T459" s="132">
        <f>IF(Tabela3[[#This Row],[Passivo Circulante]]&gt;0,Tabela3[[#This Row],[Ativo Circulante]]/Tabela3[[#This Row],[Passivo Circulante]],0)</f>
        <v>0</v>
      </c>
      <c r="U45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9" s="19">
        <f>IF(Tabela3[[#This Row],[Lucro Líquido]]&gt;0,Tabela3[[#This Row],[Lucro Líquido]]/Tabela3[[#This Row],[Patrimônio Líquido]],0)/Tabela3[[#This Row],[Ref]]*4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59" s="19">
        <f>IF(Tabela3[[#This Row],[Dívida]]&gt;0,Tabela3[[#This Row],[Dívida]]/Tabela3[[#This Row],[Patrimônio Líquido]],0)</f>
        <v>0</v>
      </c>
      <c r="Y459" s="19">
        <f>SUMPRODUCT(N([Dívida / PL]&gt;0),N(RIGHT([PAPEL],LEN([PAPEL])-(LEN([PAPEL])-1))="3"),[Dívida / PL])/SUMPRODUCT(N([Dívida / PL]&gt;0),N(RIGHT([PAPEL],LEN([PAPEL])-(LEN([PAPEL])-1))="3"))</f>
        <v>2.312588816579864</v>
      </c>
      <c r="Z459" s="6">
        <f>Tabela3[[#This Row],[Capital Social]]*20%</f>
        <v>1248350606.4319999</v>
      </c>
      <c r="AA459" s="6">
        <f>IF(([Lucro Líquido]*5%)&gt;[Teto R. Legal],[Teto R. Legal],[Lucro Líquido]*5%)</f>
        <v>-8121350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1107738677</v>
      </c>
      <c r="AE459" s="6">
        <f>[Capital Social]/[Total Ações]</f>
        <v>5.6346800574518534</v>
      </c>
      <c r="AF459" s="78">
        <f>Tabela3[[#This Row],[Lucro Líquido]]/Tabela3[[#This Row],[Total Ações]]</f>
        <v>-0.14662934803349834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9.6612759148067546</v>
      </c>
      <c r="AN459" s="48">
        <f>MAX(Tabela3[[#This Row],[Cotação 1]:[Cotação 5]])</f>
        <v>4</v>
      </c>
      <c r="AO459" s="44">
        <f>[Cotação]/[VPA]</f>
        <v>0.41402398971647714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200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t="11.25" customHeight="1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734649326</v>
      </c>
      <c r="G460" s="81">
        <v>0.25</v>
      </c>
      <c r="H460" s="15"/>
      <c r="I460" s="19"/>
      <c r="J460" s="19"/>
      <c r="K460" s="88"/>
      <c r="L460" s="88"/>
      <c r="M460" s="55"/>
      <c r="N460" s="55"/>
      <c r="O460" s="55"/>
      <c r="P460" s="6">
        <v>10702169000</v>
      </c>
      <c r="Q460" s="6">
        <v>-162427000</v>
      </c>
      <c r="R460" s="6">
        <f>IF(Tabela3[[#This Row],[Ativo || Passivo]]&gt;0,Tabela3[[#This Row],[Ativo || Passivo]]-Tabela3[[#This Row],[Patrimônio Líquido]],0)</f>
        <v>0</v>
      </c>
      <c r="S460" s="6">
        <f>Tabela3[[#This Row],[Cotação]]*Tabela3[[#This Row],[Total Ações]]</f>
        <v>9670558650.210001</v>
      </c>
      <c r="T460" s="132">
        <f>IF(Tabela3[[#This Row],[Passivo Circulante]]&gt;0,Tabela3[[#This Row],[Ativo Circulante]]/Tabela3[[#This Row],[Passivo Circulante]],0)</f>
        <v>0</v>
      </c>
      <c r="U46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0" s="19">
        <f>IF(Tabela3[[#This Row],[Lucro Líquido]]&gt;0,Tabela3[[#This Row],[Lucro Líquido]]/Tabela3[[#This Row],[Patrimônio Líquido]],0)/Tabela3[[#This Row],[Ref]]*4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0" s="19">
        <f>IF(Tabela3[[#This Row],[Dívida]]&gt;0,Tabela3[[#This Row],[Dívida]]/Tabela3[[#This Row],[Patrimônio Líquido]],0)</f>
        <v>0</v>
      </c>
      <c r="Y460" s="19">
        <f>SUMPRODUCT(N([Dívida / PL]&gt;0),N(RIGHT([PAPEL],LEN([PAPEL])-(LEN([PAPEL])-1))="3"),[Dívida / PL])/SUMPRODUCT(N([Dívida / PL]&gt;0),N(RIGHT([PAPEL],LEN([PAPEL])-(LEN([PAPEL])-1))="3"))</f>
        <v>2.312588816579864</v>
      </c>
      <c r="Z460" s="6">
        <f>Tabela3[[#This Row],[Capital Social]]*20%</f>
        <v>1248350606.4319999</v>
      </c>
      <c r="AA460" s="6">
        <f>IF(([Lucro Líquido]*5%)&gt;[Teto R. Legal],[Teto R. Legal],[Lucro Líquido]*5%)</f>
        <v>-8121350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1107738677</v>
      </c>
      <c r="AE460" s="6">
        <f>[Capital Social]/[Total Ações]</f>
        <v>5.6346800574518534</v>
      </c>
      <c r="AF460" s="78">
        <f>Tabela3[[#This Row],[Lucro Líquido]]/Tabela3[[#This Row],[Total Ações]]</f>
        <v>-0.14662934803349834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9.6612759148067546</v>
      </c>
      <c r="AN460" s="48">
        <f>MAX(Tabela3[[#This Row],[Cotação 1]:[Cotação 5]])</f>
        <v>8.73</v>
      </c>
      <c r="AO460" s="44">
        <f>[Cotação]/[VPA]</f>
        <v>0.90360735755621135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100</v>
      </c>
      <c r="AW460" s="17">
        <f>Tabela3[[#This Row],[Ativos]]*[Lucro]</f>
        <v>0</v>
      </c>
      <c r="AX460" s="5">
        <f>SUMPRODUCT(N(Tabela1[Código]=Tabela3[[#This Row],[PAPEL]]),Tabela1[Fechamento])</f>
        <v>8.73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t="11.25" customHeight="1">
      <c r="A461" s="4" t="s">
        <v>19</v>
      </c>
      <c r="B461" s="57" t="s">
        <v>184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8640361680.6000004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1" s="19">
        <f>IF(Tabela3[[#This Row],[Lucro Líquido]]&gt;0,Tabela3[[#This Row],[Lucro Líquido]]/Tabela3[[#This Row],[Patrimônio Líquido]],0)/Tabela3[[#This Row],[Ref]]*4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2.312588816579864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1107738677</v>
      </c>
      <c r="AE461" s="6">
        <f>[Capital Social]/[Total Ações]</f>
        <v>5.6346800574518534</v>
      </c>
      <c r="AF461" s="78">
        <f>Tabela3[[#This Row],[Lucro Líquido]]/Tabela3[[#This Row],[Total Ações]]</f>
        <v>-0.14662934803349834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9.6612759148067546</v>
      </c>
      <c r="AN461" s="48">
        <f>MAX(Tabela3[[#This Row],[Cotação 1]:[Cotação 5]])</f>
        <v>7.8</v>
      </c>
      <c r="AO461" s="44">
        <f>[Cotação]/[VPA]</f>
        <v>0.80734677994713044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100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12</v>
      </c>
      <c r="B462" s="60" t="s">
        <v>56</v>
      </c>
      <c r="C462" s="14" t="str">
        <f>LEFT([PAPEL],LEN([PAPEL])-(LEN([PAPEL])-4))</f>
        <v>TAEE</v>
      </c>
      <c r="D462" s="15">
        <v>3</v>
      </c>
      <c r="E462" s="6">
        <v>3067535193.2800002</v>
      </c>
      <c r="F462" s="8"/>
      <c r="G462" s="81">
        <v>0.5</v>
      </c>
      <c r="H462" s="15"/>
      <c r="I462" s="19"/>
      <c r="J462" s="19"/>
      <c r="K462" s="88">
        <v>1</v>
      </c>
      <c r="L462" s="88">
        <v>2</v>
      </c>
      <c r="M462" s="55">
        <v>9101836000</v>
      </c>
      <c r="N462" s="55">
        <v>1859239000</v>
      </c>
      <c r="O462" s="55">
        <v>923506000</v>
      </c>
      <c r="P462" s="89">
        <v>4589097000</v>
      </c>
      <c r="Q462" s="89">
        <v>751496000</v>
      </c>
      <c r="R462" s="89">
        <f>IF(Tabela3[[#This Row],[Ativo || Passivo]]&gt;0,Tabela3[[#This Row],[Ativo || Passivo]]-Tabela3[[#This Row],[Patrimônio Líquido]],0)</f>
        <v>4512739000</v>
      </c>
      <c r="S462" s="89">
        <f>Tabela3[[#This Row],[Cotação]]*Tabela3[[#This Row],[Total Ações]]</f>
        <v>18809640322.200001</v>
      </c>
      <c r="T462" s="132">
        <f>IF(Tabela3[[#This Row],[Passivo Circulante]]&gt;0,Tabela3[[#This Row],[Ativo Circulante]]/Tabela3[[#This Row],[Passivo Circulante]],0)</f>
        <v>2.0132397623837854</v>
      </c>
      <c r="U46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2" s="19">
        <f>IF(Tabela3[[#This Row],[Lucro Líquido]]&gt;0,Tabela3[[#This Row],[Lucro Líquido]]/Tabela3[[#This Row],[Patrimônio Líquido]],0)/Tabela3[[#This Row],[Ref]]*4</f>
        <v>0.21834244660042415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2" s="19">
        <f>IF(Tabela3[[#This Row],[Dívida]]&gt;0,Tabela3[[#This Row],[Dívida]]/Tabela3[[#This Row],[Patrimônio Líquido]],0)</f>
        <v>0.98336099672767863</v>
      </c>
      <c r="Y462" s="19">
        <f>SUMPRODUCT(N([Dívida / PL]&gt;0),N(RIGHT([PAPEL],LEN([PAPEL])-(LEN([PAPEL])-1))="3"),[Dívida / PL])/SUMPRODUCT(N([Dívida / PL]&gt;0),N(RIGHT([PAPEL],LEN([PAPEL])-(LEN([PAPEL])-1))="3"))</f>
        <v>2.312588816579864</v>
      </c>
      <c r="Z462" s="6">
        <f>Tabela3[[#This Row],[Capital Social]]*20%</f>
        <v>613507038.65600002</v>
      </c>
      <c r="AA462" s="6">
        <f>IF(([Lucro Líquido]*5%)&gt;[Teto R. Legal],[Teto R. Legal],[Lucro Líquido]*5%)</f>
        <v>37574800</v>
      </c>
      <c r="AB462" s="89">
        <f>IF([Lucro Líquido]&lt;0,0,[Lucro Líquido]-[Reserva Legal])</f>
        <v>713921200</v>
      </c>
      <c r="AC462" s="89">
        <f>Tabela3[[#This Row],[Lucro Distribuir]]*[%Div]</f>
        <v>356960600</v>
      </c>
      <c r="AD462" s="56">
        <f>SUMPRODUCT(N([Nome]=Tabela3[[#This Row],[Nome]]),[Ações])</f>
        <v>1033496721</v>
      </c>
      <c r="AE462" s="6">
        <f>[Capital Social]/[Total Ações]</f>
        <v>2.968113135677767</v>
      </c>
      <c r="AF462" s="78">
        <f>Tabela3[[#This Row],[Lucro Líquido]]/Tabela3[[#This Row],[Total Ações]]</f>
        <v>0.72713922040590584</v>
      </c>
      <c r="AG4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2" s="6">
        <f>[Div Base]*[Ações]</f>
        <v>0</v>
      </c>
      <c r="AL462" s="6">
        <f>SUMPRODUCT(N([Nome]=Tabela3[[#This Row],[Nome]]),[Div Base]*[Ações])</f>
        <v>356960600</v>
      </c>
      <c r="AM462" s="6">
        <f>[Patrimônio Líquido]/[Total Ações]</f>
        <v>4.4403595161478986</v>
      </c>
      <c r="AN462" s="48">
        <f>MAX(Tabela3[[#This Row],[Cotação 1]:[Cotação 5]])</f>
        <v>18.2</v>
      </c>
      <c r="AO462" s="44">
        <f>[Cotação]/[VPA]</f>
        <v>4.0987672132883661</v>
      </c>
      <c r="AP462" s="40">
        <f>IF(Tabela3[[#This Row],[Lucro/Ação]]&gt;0,Tabela3[[#This Row],[Cotação]]/(Tabela3[[#This Row],[Lucro/Ação]]/[Ref]*4),0)</f>
        <v>18.772196048481963</v>
      </c>
      <c r="AQ462" s="78">
        <f>[Lucro Distribuir]/[Total Ações]</f>
        <v>0.69078225938561055</v>
      </c>
      <c r="AR462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462" s="15" t="str">
        <f>IF(AND([% A.A.]&gt;=5%,SUMPRODUCT(N([Nome]=Tabela3[[#This Row],[Nome]]),[PL])&gt;0,[Rentabilidade s/ PL]&gt;=[Rentabilidade s/ PL Média]),"Sim","Não")</f>
        <v>Sim</v>
      </c>
      <c r="AT462" s="42">
        <f>IF([Cotação]&gt;0,Tabela3[[#This Row],[Lucro]]/Tabela3[[#This Row],[Cotação]],0)</f>
        <v>5.6932603795517359E-2</v>
      </c>
      <c r="AU462" s="19">
        <f>((1+Tabela3[[#This Row],[% Yield]])^(1/(3*Tabela3[[#This Row],[Ref]])))^(12)-1</f>
        <v>7.6621528933539018E-2</v>
      </c>
      <c r="AV462" s="14">
        <f>IF([Cotação]&gt;0,($BH$1/Tabela3[[#This Row],[Cotação]]-MOD($BH$1/Tabela3[[#This Row],[Cotação]],100)),)</f>
        <v>0</v>
      </c>
      <c r="AW462" s="17">
        <f>Tabela3[[#This Row],[Ativos]]*[Lucro]</f>
        <v>0</v>
      </c>
      <c r="AX462" s="5">
        <f>SUMPRODUCT(N(Tabela1[Código]=Tabela3[[#This Row],[PAPEL]]),Tabela1[Fechamento])</f>
        <v>18.2</v>
      </c>
      <c r="AY462" s="5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t="11.25" customHeight="1">
      <c r="A463" s="4" t="s">
        <v>12</v>
      </c>
      <c r="B463" s="60" t="s">
        <v>501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3" s="19">
        <f>IF(Tabela3[[#This Row],[Lucro Líquido]]&gt;0,Tabela3[[#This Row],[Lucro Líquido]]/Tabela3[[#This Row],[Patrimônio Líquido]],0)/Tabela3[[#This Row],[Ref]]*4</f>
        <v>0.21834244660042415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2.312588816579864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A.A.]&gt;=5%,SUMPRODUCT(N([Nome]=Tabela3[[#This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t="11.25" customHeight="1">
      <c r="A464" s="4" t="s">
        <v>12</v>
      </c>
      <c r="B464" s="60" t="s">
        <v>502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4" s="19">
        <f>IF(Tabela3[[#This Row],[Lucro Líquido]]&gt;0,Tabela3[[#This Row],[Lucro Líquido]]/Tabela3[[#This Row],[Patrimônio Líquido]],0)/Tabela3[[#This Row],[Ref]]*4</f>
        <v>0.21834244660042415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2.312588816579864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t="11.25" customHeight="1">
      <c r="A465" s="4" t="s">
        <v>12</v>
      </c>
      <c r="B465" s="60" t="s">
        <v>172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20992188894.719997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5" s="19">
        <f>IF(Tabela3[[#This Row],[Lucro Líquido]]&gt;0,Tabela3[[#This Row],[Lucro Líquido]]/Tabela3[[#This Row],[Patrimônio Líquido]],0)/Tabela3[[#This Row],[Ref]]*4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2.312588816579864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32.159999999999997</v>
      </c>
      <c r="AO465" s="44">
        <f>[Cotação]/[VPA]</f>
        <v>3.9154501831377893</v>
      </c>
      <c r="AP465" s="40">
        <f>IF(Tabela3[[#This Row],[Lucro/Ação]]&gt;0,Tabela3[[#This Row],[Cotação]]/(Tabela3[[#This Row],[Lucro/Ação]]/[Ref]*4),0)</f>
        <v>14.617375869514355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1.9497343609695985E-2</v>
      </c>
      <c r="AU465" s="19">
        <f>((1+Tabela3[[#This Row],[% Yield]])^(1/(3*Tabela3[[#This Row],[Ref]])))^(12)-1</f>
        <v>1.9497343609695239E-2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32.159999999999997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t="11.25" customHeight="1">
      <c r="A466" s="3" t="s">
        <v>1140</v>
      </c>
      <c r="B466" s="125" t="s">
        <v>1131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7944406.7999999998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6" s="18">
        <f>IF(Tabela3[[#This Row],[Lucro Líquido]]&gt;0,Tabela3[[#This Row],[Lucro Líquido]]/Tabela3[[#This Row],[Patrimônio Líquido]],0)/Tabela3[[#This Row],[Ref]]*4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2.312588816579864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0.08</v>
      </c>
      <c r="AO466" s="53">
        <f>[Cotação]/[VPA]</f>
        <v>1.4986619128466327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11200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0.08</v>
      </c>
    </row>
    <row r="467" spans="1:54" ht="11.25" customHeight="1">
      <c r="A467" s="3" t="s">
        <v>1140</v>
      </c>
      <c r="B467" s="125" t="s">
        <v>1132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6951355.9500000011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7" s="18">
        <f>IF(Tabela3[[#This Row],[Lucro Líquido]]&gt;0,Tabela3[[#This Row],[Lucro Líquido]]/Tabela3[[#This Row],[Patrimônio Líquido]],0)/Tabela3[[#This Row],[Ref]]*4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2.312588816579864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7.0000000000000007E-2</v>
      </c>
      <c r="AO467" s="53">
        <f>[Cotação]/[VPA]</f>
        <v>1.3113291737408037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12800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7.0000000000000007E-2</v>
      </c>
    </row>
    <row r="468" spans="1:54" ht="11.25" customHeight="1">
      <c r="A468" s="3" t="s">
        <v>1060</v>
      </c>
      <c r="B468" s="57" t="s">
        <v>1092</v>
      </c>
      <c r="C468" s="16" t="str">
        <f>LEFT([PAPEL],LEN([PAPEL])-(LEN([PAPEL])-4))</f>
        <v>TCSA</v>
      </c>
      <c r="D468" s="16">
        <v>4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>
        <v>2914886000</v>
      </c>
      <c r="N468" s="54">
        <v>225896000</v>
      </c>
      <c r="O468" s="54">
        <v>926641000</v>
      </c>
      <c r="P468" s="91">
        <v>1412430000</v>
      </c>
      <c r="Q468" s="73">
        <v>221146000</v>
      </c>
      <c r="R468" s="73">
        <f>IF(Tabela3[[#This Row],[Ativo || Passivo]]&gt;0,Tabela3[[#This Row],[Ativo || Passivo]]-Tabela3[[#This Row],[Patrimônio Líquido]],0)</f>
        <v>1502456000</v>
      </c>
      <c r="S468" s="73">
        <f>Tabela3[[#This Row],[Cotação]]*Tabela3[[#This Row],[Total Ações]]</f>
        <v>1387310604.74</v>
      </c>
      <c r="T468" s="37">
        <f>IF(Tabela3[[#This Row],[Passivo Circulante]]&gt;0,Tabela3[[#This Row],[Ativo Circulante]]/Tabela3[[#This Row],[Passivo Circulante]],0)</f>
        <v>0.24377941403412973</v>
      </c>
      <c r="U46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8" s="18">
        <f>IF(Tabela3[[#This Row],[Lucro Líquido]]&gt;0,Tabela3[[#This Row],[Lucro Líquido]]/Tabela3[[#This Row],[Patrimônio Líquido]],0)/Tabela3[[#This Row],[Ref]]*4</f>
        <v>0.15657129910862838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8" s="18">
        <f>IF(Tabela3[[#This Row],[Dívida]]&gt;0,Tabela3[[#This Row],[Dívida]]/Tabela3[[#This Row],[Patrimônio Líquido]],0)</f>
        <v>1.0637383799551128</v>
      </c>
      <c r="Y468" s="18">
        <f>SUMPRODUCT(N([Dívida / PL]&gt;0),N(RIGHT([PAPEL],LEN([PAPEL])-(LEN([PAPEL])-1))="3"),[Dívida / PL])/SUMPRODUCT(N([Dívida / PL]&gt;0),N(RIGHT([PAPEL],LEN([PAPEL])-(LEN([PAPEL])-1))="3"))</f>
        <v>2.312588816579864</v>
      </c>
      <c r="Z468" s="7">
        <f>Tabela3[[#This Row],[Capital Social]]*20%</f>
        <v>214563126.36000001</v>
      </c>
      <c r="AA468" s="47">
        <f>IF(([Lucro Líquido]*5%)&gt;[Teto R. Legal],[Teto R. Legal],[Lucro Líquido]*5%)</f>
        <v>11057300</v>
      </c>
      <c r="AB468" s="47">
        <f>IF([Lucro Líquido]&lt;0,0,[Lucro Líquido]-[Reserva Legal])</f>
        <v>210088700</v>
      </c>
      <c r="AC468" s="47">
        <f>Tabela3[[#This Row],[Lucro Distribuir]]*[%Div]</f>
        <v>52522175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1.1891707267019589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8" s="7">
        <f>[Div Base]*[Ações]</f>
        <v>52522175</v>
      </c>
      <c r="AL468" s="120">
        <f>SUMPRODUCT(N([Nome]=Tabela3[[#This Row],[Nome]]),[Div Base]*[Ações])</f>
        <v>52522175</v>
      </c>
      <c r="AM468" s="5">
        <f>[Patrimônio Líquido]/[Total Ações]</f>
        <v>7.5950747900285238</v>
      </c>
      <c r="AN468" s="52">
        <f>MAX(Tabela3[[#This Row],[Cotação 1]:[Cotação 5]])</f>
        <v>7.46</v>
      </c>
      <c r="AO468" s="53">
        <f>[Cotação]/[VPA]</f>
        <v>0.98221547598111059</v>
      </c>
      <c r="AP468" s="37">
        <f>IF(Tabela3[[#This Row],[Lucro/Ação]]&gt;0,Tabela3[[#This Row],[Cotação]]/(Tabela3[[#This Row],[Lucro/Ação]]/[Ref]*4),0)</f>
        <v>6.2732792125564112</v>
      </c>
      <c r="AQ468" s="85">
        <f>[Lucro Distribuir]/[Total Ações]</f>
        <v>1.129712190366861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3.7858987612830464E-2</v>
      </c>
      <c r="AU468" s="22">
        <f>((1+Tabela3[[#This Row],[% Yield]])^(1/(3*Tabela3[[#This Row],[Ref]])))^(12)-1</f>
        <v>3.7858987612832351E-2</v>
      </c>
      <c r="AV468" s="10">
        <f>IF([Cotação]&gt;0,($BH$1/Tabela3[[#This Row],[Cotação]]-MOD($BH$1/Tabela3[[#This Row],[Cotação]],100)),)</f>
        <v>100</v>
      </c>
      <c r="AW468" s="7">
        <f>Tabela3[[#This Row],[Ativos]]*[Lucro]</f>
        <v>28.242804759171523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7.46</v>
      </c>
      <c r="BB468" s="7">
        <f>SUMPRODUCT(N(Tabela17683[Código]=Tabela3[[#This Row],[PAPEL]]),Tabela17683[Fechamento])</f>
        <v>0</v>
      </c>
    </row>
    <row r="469" spans="1:54" ht="11.25" customHeight="1">
      <c r="A469" s="3" t="s">
        <v>1001</v>
      </c>
      <c r="B469" s="58" t="s">
        <v>1003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1114855774.5599999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9" s="18">
        <f>IF(Tabela3[[#This Row],[Lucro Líquido]]&gt;0,Tabela3[[#This Row],[Lucro Líquido]]/Tabela3[[#This Row],[Patrimônio Líquido]],0)/Tabela3[[#This Row],[Ref]]*4</f>
        <v>8.0398801042502327E-3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2.312588816579864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14.36</v>
      </c>
      <c r="AO469" s="53">
        <f>[Cotação]/[VPA]</f>
        <v>2.669769686554833</v>
      </c>
      <c r="AP469" s="37">
        <f>IF(Tabela3[[#This Row],[Lucro/Ação]]&gt;0,Tabela3[[#This Row],[Cotação]]/(Tabela3[[#This Row],[Lucro/Ação]]/[Ref]*4),0)</f>
        <v>332.06585818903886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5.3641467680967301E-4</v>
      </c>
      <c r="AU469" s="22">
        <f>((1+Tabela3[[#This Row],[% Yield]])^(1/(3*Tabela3[[#This Row],[Ref]])))^(12)-1</f>
        <v>7.1528350383909256E-4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14.36</v>
      </c>
      <c r="BB469" s="7">
        <f>SUMPRODUCT(N(Tabela17683[Código]=Tabela3[[#This Row],[PAPEL]]),Tabela17683[Fechamento])</f>
        <v>0</v>
      </c>
    </row>
    <row r="470" spans="1:54" ht="11.25" customHeight="1">
      <c r="A470" s="4" t="s">
        <v>562</v>
      </c>
      <c r="B470" s="57" t="s">
        <v>564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532992231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0" s="19">
        <f>IF(Tabela3[[#This Row],[Lucro Líquido]]&gt;0,Tabela3[[#This Row],[Lucro Líquido]]/Tabela3[[#This Row],[Patrimônio Líquido]],0)/Tabela3[[#This Row],[Ref]]*4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2.312588816579864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4.5</v>
      </c>
      <c r="AO470" s="44">
        <f>[Cotação]/[VPA]</f>
        <v>3.993827318776507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200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4.5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t="11.25" customHeight="1">
      <c r="A471" s="4" t="s">
        <v>562</v>
      </c>
      <c r="B471" s="57" t="s">
        <v>565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294922367.82000005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1" s="19">
        <f>IF(Tabela3[[#This Row],[Lucro Líquido]]&gt;0,Tabela3[[#This Row],[Lucro Líquido]]/Tabela3[[#This Row],[Patrimônio Líquido]],0)/Tabela3[[#This Row],[Ref]]*4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2.312588816579864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2.4900000000000002</v>
      </c>
      <c r="AO471" s="44">
        <f>[Cotação]/[VPA]</f>
        <v>2.2099177830563339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300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2.4900000000000002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t="11.25" customHeight="1">
      <c r="A472" s="4" t="s">
        <v>726</v>
      </c>
      <c r="B472" s="57" t="s">
        <v>725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513006428.09999996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2" s="19">
        <f>IF(Tabela3[[#This Row],[Lucro Líquido]]&gt;0,Tabela3[[#This Row],[Lucro Líquido]]/Tabela3[[#This Row],[Patrimônio Líquido]],0)/Tabela3[[#This Row],[Ref]]*4</f>
        <v>8.3065436307626792E-2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2.312588816579864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3.26</v>
      </c>
      <c r="AO472" s="44">
        <f>[Cotação]/[VPA]</f>
        <v>1.7809878564534829</v>
      </c>
      <c r="AP472" s="40">
        <f>IF(Tabela3[[#This Row],[Lucro/Ação]]&gt;0,Tabela3[[#This Row],[Cotação]]/(Tabela3[[#This Row],[Lucro/Ação]]/[Ref]*4),0)</f>
        <v>21.440781336026745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8.3077662706581602E-3</v>
      </c>
      <c r="AU472" s="42">
        <f>((1+Tabela3[[#This Row],[% Yield]])^(1/(3*Tabela3[[#This Row],[Ref]])))^(12)-1</f>
        <v>1.1092331027266811E-2</v>
      </c>
      <c r="AV472" s="14">
        <f>IF([Cotação]&gt;0,($BH$1/Tabela3[[#This Row],[Cotação]]-MOD($BH$1/Tabela3[[#This Row],[Cotação]],100)),)</f>
        <v>200</v>
      </c>
      <c r="AW472" s="17">
        <f>Tabela3[[#This Row],[Ativos]]*[Lucro]</f>
        <v>5.4166636084691193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3.26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t="11.25" customHeight="1">
      <c r="A473" s="3" t="s">
        <v>889</v>
      </c>
      <c r="B473" s="58" t="s">
        <v>981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3" s="18">
        <f>IF(Tabela3[[#This Row],[Lucro Líquido]]&gt;0,Tabela3[[#This Row],[Lucro Líquido]]/Tabela3[[#This Row],[Patrimônio Líquido]],0)/Tabela3[[#This Row],[Ref]]*4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2.312588816579864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t="11.25" customHeight="1">
      <c r="A474" s="3" t="s">
        <v>889</v>
      </c>
      <c r="B474" s="58" t="s">
        <v>982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4" s="18">
        <f>IF(Tabela3[[#This Row],[Lucro Líquido]]&gt;0,Tabela3[[#This Row],[Lucro Líquido]]/Tabela3[[#This Row],[Patrimônio Líquido]],0)/Tabela3[[#This Row],[Ref]]*4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2.312588816579864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1600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 ht="11.25" customHeight="1">
      <c r="A475" s="3" t="s">
        <v>889</v>
      </c>
      <c r="B475" s="58" t="s">
        <v>983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5" s="18">
        <f>IF(Tabela3[[#This Row],[Lucro Líquido]]&gt;0,Tabela3[[#This Row],[Lucro Líquido]]/Tabela3[[#This Row],[Patrimônio Líquido]],0)/Tabela3[[#This Row],[Ref]]*4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2.312588816579864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 ht="11.25" customHeight="1">
      <c r="A476" s="3" t="s">
        <v>889</v>
      </c>
      <c r="B476" s="58" t="s">
        <v>984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6" s="18">
        <f>IF(Tabela3[[#This Row],[Lucro Líquido]]&gt;0,Tabela3[[#This Row],[Lucro Líquido]]/Tabela3[[#This Row],[Patrimônio Líquido]],0)/Tabela3[[#This Row],[Ref]]*4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2.312588816579864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1100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 ht="11.25" customHeight="1">
      <c r="A477" s="4" t="s">
        <v>251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1553668150.0999999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7" s="19">
        <f>IF(Tabela3[[#This Row],[Lucro Líquido]]&gt;0,Tabela3[[#This Row],[Lucro Líquido]]/Tabela3[[#This Row],[Patrimônio Líquido]],0)/Tabela3[[#This Row],[Ref]]*4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2.312588816579864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1.9</v>
      </c>
      <c r="AO477" s="44">
        <f>[Cotação]/[VPA]</f>
        <v>0.41113208523418893</v>
      </c>
      <c r="AP477" s="40">
        <f>IF(Tabela3[[#This Row],[Lucro/Ação]]&gt;0,Tabela3[[#This Row],[Cotação]]/(Tabela3[[#This Row],[Lucro/Ação]]/[Ref]*4),0)</f>
        <v>37.894345124390242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6.2674258974628897E-3</v>
      </c>
      <c r="AU477" s="19">
        <f>((1+Tabela3[[#This Row],[% Yield]])^(1/(3*Tabela3[[#This Row],[Ref]])))^(12)-1</f>
        <v>6.2674258974637631E-3</v>
      </c>
      <c r="AV477" s="14">
        <f>IF([Cotação]&gt;0,($BH$1/Tabela3[[#This Row],[Cotação]]-MOD($BH$1/Tabela3[[#This Row],[Cotação]],100)),)</f>
        <v>400</v>
      </c>
      <c r="AW477" s="17">
        <f>Tabela3[[#This Row],[Ativos]]*[Lucro]</f>
        <v>4.7632436820717956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1.9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t="11.25" customHeight="1">
      <c r="A478" s="3" t="s">
        <v>1216</v>
      </c>
      <c r="B478" s="58" t="s">
        <v>1218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1221053927.5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8" s="18">
        <f>IF(Tabela3[[#This Row],[Lucro Líquido]]&gt;0,Tabela3[[#This Row],[Lucro Líquido]]/Tabela3[[#This Row],[Patrimônio Líquido]],0)/Tabela3[[#This Row],[Ref]]*4</f>
        <v>0.13635557111729901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2.312588816579864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18.5</v>
      </c>
      <c r="AO478" s="53">
        <f>[Cotação]/[VPA]</f>
        <v>2.8887762101687056</v>
      </c>
      <c r="AP478" s="37">
        <f>IF(Tabela3[[#This Row],[Lucro/Ação]]&gt;0,Tabela3[[#This Row],[Cotação]]/(Tabela3[[#This Row],[Lucro/Ação]]/[Ref]*4),0)</f>
        <v>21.18561190054827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8.4078288999238325E-3</v>
      </c>
      <c r="AU478" s="22">
        <f>((1+Tabela3[[#This Row],[% Yield]])^(1/(3*Tabela3[[#This Row],[Ref]])))^(12)-1</f>
        <v>1.1226118525864859E-2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18.5</v>
      </c>
    </row>
    <row r="479" spans="1:54" ht="11.25" customHeight="1">
      <c r="A479" s="4" t="s">
        <v>626</v>
      </c>
      <c r="B479" s="57" t="s">
        <v>623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9" s="19">
        <f>IF(Tabela3[[#This Row],[Lucro Líquido]]&gt;0,Tabela3[[#This Row],[Lucro Líquido]]/Tabela3[[#This Row],[Patrimônio Líquido]],0)/Tabela3[[#This Row],[Ref]]*4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2.312588816579864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A.A.]&gt;=5%,SUMPRODUCT(N([Nome]=Tabela3[[#This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5000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 ht="11.25" customHeight="1">
      <c r="A480" s="4" t="s">
        <v>626</v>
      </c>
      <c r="B480" s="57" t="s">
        <v>624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0" s="19">
        <f>IF(Tabela3[[#This Row],[Lucro Líquido]]&gt;0,Tabela3[[#This Row],[Lucro Líquido]]/Tabela3[[#This Row],[Patrimônio Líquido]],0)/Tabela3[[#This Row],[Ref]]*4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2.312588816579864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3700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t="11.25" customHeight="1">
      <c r="A481" s="4" t="s">
        <v>626</v>
      </c>
      <c r="B481" s="57" t="s">
        <v>625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557159904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1" s="19">
        <f>IF(Tabela3[[#This Row],[Lucro Líquido]]&gt;0,Tabela3[[#This Row],[Lucro Líquido]]/Tabela3[[#This Row],[Patrimônio Líquido]],0)/Tabela3[[#This Row],[Ref]]*4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2.312588816579864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0.24</v>
      </c>
      <c r="AO481" s="44">
        <f>[Cotação]/[VPA]</f>
        <v>1.4198231566071631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3700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0.24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t="11.25" customHeight="1">
      <c r="A482" s="3" t="s">
        <v>278</v>
      </c>
      <c r="B482" s="58" t="s">
        <v>277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27802775440.5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2" s="18">
        <f>IF(Tabela3[[#This Row],[Lucro Líquido]]&gt;0,Tabela3[[#This Row],[Lucro Líquido]]/Tabela3[[#This Row],[Patrimônio Líquido]],0)/Tabela3[[#This Row],[Ref]]*4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2.312588816579864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11.5</v>
      </c>
      <c r="AO482" s="53">
        <f>[Cotação]/[VPA]</f>
        <v>1.9049990572223776</v>
      </c>
      <c r="AP482" s="37">
        <f>IF(Tabela3[[#This Row],[Lucro/Ação]]&gt;0,Tabela3[[#This Row],[Cotação]]/(Tabela3[[#This Row],[Lucro/Ação]]/[Ref]*4),0)</f>
        <v>18.466071277565163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A.A.]&gt;=5%,SUMPRODUCT(N([Nome]=Tabela3[[#This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1.2861425499236752E-2</v>
      </c>
      <c r="AU482" s="18">
        <f>((1+Tabela3[[#This Row],[% Yield]])^(1/(3*Tabela3[[#This Row],[Ref]])))^(12)-1</f>
        <v>1.2861425499237189E-2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11.5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t="11.25" customHeight="1">
      <c r="A483" s="4" t="s">
        <v>326</v>
      </c>
      <c r="B483" s="57" t="s">
        <v>619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3" s="19">
        <f>IF(Tabela3[[#This Row],[Lucro Líquido]]&gt;0,Tabela3[[#This Row],[Lucro Líquido]]/Tabela3[[#This Row],[Patrimônio Líquido]],0)/Tabela3[[#This Row],[Ref]]*4</f>
        <v>0.10870852769668371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2.312588816579864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t="11.25" customHeight="1">
      <c r="A484" s="4" t="s">
        <v>326</v>
      </c>
      <c r="B484" s="57" t="s">
        <v>328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4" s="19">
        <f>IF(Tabela3[[#This Row],[Lucro Líquido]]&gt;0,Tabela3[[#This Row],[Lucro Líquido]]/Tabela3[[#This Row],[Patrimônio Líquido]],0)/Tabela3[[#This Row],[Ref]]*4</f>
        <v>0.10870852769668371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2.312588816579864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t="11.25" customHeight="1">
      <c r="A485" s="4" t="s">
        <v>562</v>
      </c>
      <c r="B485" s="57" t="s">
        <v>571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5248927649.8099995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5" s="19">
        <f>IF(Tabela3[[#This Row],[Lucro Líquido]]&gt;0,Tabela3[[#This Row],[Lucro Líquido]]/Tabela3[[#This Row],[Patrimônio Líquido]],0)/Tabela3[[#This Row],[Ref]]*4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2.312588816579864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32.11</v>
      </c>
      <c r="AO485" s="44">
        <f>[Cotação]/[VPA]</f>
        <v>4.9164709665789639</v>
      </c>
      <c r="AP485" s="40">
        <f>IF(Tabela3[[#This Row],[Lucro/Ação]]&gt;0,Tabela3[[#This Row],[Cotação]]/(Tabela3[[#This Row],[Lucro/Ação]]/[Ref]*4),0)</f>
        <v>23.589413828512619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1.0068075524324085E-2</v>
      </c>
      <c r="AU485" s="42">
        <f>((1+Tabela3[[#This Row],[% Yield]])^(1/(3*Tabela3[[#This Row],[Ref]])))^(12)-1</f>
        <v>1.0068075524322984E-2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32.11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t="11.25" customHeight="1">
      <c r="A486" s="3" t="s">
        <v>925</v>
      </c>
      <c r="B486" s="58" t="s">
        <v>926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26452814699.080002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6" s="18">
        <f>IF(Tabela3[[#This Row],[Lucro Líquido]]&gt;0,Tabela3[[#This Row],[Lucro Líquido]]/Tabela3[[#This Row],[Patrimônio Líquido]],0)/Tabela3[[#This Row],[Ref]]*4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2.312588816579864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0.02</v>
      </c>
      <c r="AO486" s="53">
        <f>[Cotação]/[VPA]</f>
        <v>11436.582230471249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A.A.]&gt;=5%,SUMPRODUCT(N([Nome]=Tabela3[[#This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45000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0.02</v>
      </c>
      <c r="BB486" s="7">
        <f>SUMPRODUCT(N(Tabela17683[Código]=Tabela3[[#This Row],[PAPEL]]),Tabela17683[Fechamento])</f>
        <v>0</v>
      </c>
    </row>
    <row r="487" spans="1:54" ht="11.25" customHeight="1">
      <c r="A487" s="3" t="s">
        <v>925</v>
      </c>
      <c r="B487" s="58" t="s">
        <v>927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13226407349.540001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7" s="18">
        <f>IF(Tabela3[[#This Row],[Lucro Líquido]]&gt;0,Tabela3[[#This Row],[Lucro Líquido]]/Tabela3[[#This Row],[Patrimônio Líquido]],0)/Tabela3[[#This Row],[Ref]]*4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2.312588816579864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0.01</v>
      </c>
      <c r="AO487" s="53">
        <f>[Cotação]/[VPA]</f>
        <v>5718.2911152356246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90000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0.01</v>
      </c>
      <c r="BB487" s="7">
        <f>SUMPRODUCT(N(Tabela17683[Código]=Tabela3[[#This Row],[PAPEL]]),Tabela17683[Fechamento])</f>
        <v>0</v>
      </c>
    </row>
    <row r="488" spans="1:54" ht="11.25" customHeight="1">
      <c r="A488" s="3" t="s">
        <v>1182</v>
      </c>
      <c r="B488" s="57" t="s">
        <v>1177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1522400000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8" s="18">
        <f>IF(Tabela3[[#This Row],[Lucro Líquido]]&gt;0,Tabela3[[#This Row],[Lucro Líquido]]/Tabela3[[#This Row],[Patrimônio Líquido]],0)/Tabela3[[#This Row],[Ref]]*4</f>
        <v>1.0872469879070638E-4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2.312588816579864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8.65</v>
      </c>
      <c r="AO488" s="53">
        <f>[Cotação]/[VPA]</f>
        <v>0.72175500627458455</v>
      </c>
      <c r="AP488" s="37">
        <f>IF(Tabela3[[#This Row],[Lucro/Ação]]&gt;0,Tabela3[[#This Row],[Cotação]]/(Tabela3[[#This Row],[Lucro/Ação]]/[Ref]*4),0)</f>
        <v>6638.3720930232557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2.6832632685233841E-5</v>
      </c>
      <c r="AU488" s="22">
        <f>((1+Tabela3[[#This Row],[% Yield]])^(1/(3*Tabela3[[#This Row],[Ref]])))^(12)-1</f>
        <v>3.577700357726421E-5</v>
      </c>
      <c r="AV488" s="10">
        <f>IF([Cotação]&gt;0,($BH$1/Tabela3[[#This Row],[Cotação]]-MOD($BH$1/Tabela3[[#This Row],[Cotação]],100)),)</f>
        <v>100</v>
      </c>
      <c r="AW488" s="7">
        <f>Tabela3[[#This Row],[Ativos]]*[Lucro]</f>
        <v>2.3210227272727275E-2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8.65</v>
      </c>
    </row>
    <row r="489" spans="1:54" ht="11.25" customHeight="1">
      <c r="A489" s="3" t="s">
        <v>1060</v>
      </c>
      <c r="B489" s="57" t="s">
        <v>1093</v>
      </c>
      <c r="C489" s="16" t="str">
        <f>LEFT([PAPEL],LEN([PAPEL])-(LEN([PAPEL])-4))</f>
        <v>TRIS</v>
      </c>
      <c r="D489" s="16">
        <v>3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508873000</v>
      </c>
      <c r="Q489" s="73">
        <v>22490000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310017334.50999999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9" s="18">
        <f>IF(Tabela3[[#This Row],[Lucro Líquido]]&gt;0,Tabela3[[#This Row],[Lucro Líquido]]/Tabela3[[#This Row],[Patrimônio Líquido]],0)/Tabela3[[#This Row],[Ref]]*4</f>
        <v>5.8927604071480837E-2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2.312588816579864</v>
      </c>
      <c r="Z489" s="7">
        <f>Tabela3[[#This Row],[Capital Social]]*20%</f>
        <v>92216000</v>
      </c>
      <c r="AA489" s="47">
        <f>IF(([Lucro Líquido]*5%)&gt;[Teto R. Legal],[Teto R. Legal],[Lucro Líquido]*5%)</f>
        <v>1124500</v>
      </c>
      <c r="AB489" s="47">
        <f>IF([Lucro Líquido]&lt;0,0,[Lucro Líquido]-[Reserva Legal])</f>
        <v>21365500</v>
      </c>
      <c r="AC489" s="47">
        <f>Tabela3[[#This Row],[Lucro Distribuir]]*[%Div]</f>
        <v>5341375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0.27494301289546302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489" s="7">
        <f>[Div Base]*[Ações]</f>
        <v>5341375</v>
      </c>
      <c r="AL489" s="120">
        <f>SUMPRODUCT(N([Nome]=Tabela3[[#This Row],[Nome]]),[Div Base]*[Ações])</f>
        <v>5341375</v>
      </c>
      <c r="AM489" s="5">
        <f>[Patrimônio Líquido]/[Total Ações]</f>
        <v>6.2210349400245866</v>
      </c>
      <c r="AN489" s="52">
        <f>MAX(Tabela3[[#This Row],[Cotação 1]:[Cotação 5]])</f>
        <v>3.79</v>
      </c>
      <c r="AO489" s="53">
        <f>[Cotação]/[VPA]</f>
        <v>0.60922339072813847</v>
      </c>
      <c r="AP489" s="37">
        <f>IF(Tabela3[[#This Row],[Lucro/Ação]]&gt;0,Tabela3[[#This Row],[Cotação]]/(Tabela3[[#This Row],[Lucro/Ação]]/[Ref]*4),0)</f>
        <v>10.338506041907513</v>
      </c>
      <c r="AQ489" s="85">
        <f>[Lucro Distribuir]/[Total Ações]</f>
        <v>0.26119586225068986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1.7229278512578487E-2</v>
      </c>
      <c r="AU489" s="22">
        <f>((1+Tabela3[[#This Row],[% Yield]])^(1/(3*Tabela3[[#This Row],[Ref]])))^(12)-1</f>
        <v>2.3038086810650116E-2</v>
      </c>
      <c r="AV489" s="10">
        <f>IF([Cotação]&gt;0,($BH$1/Tabela3[[#This Row],[Cotação]]-MOD($BH$1/Tabela3[[#This Row],[Cotação]],100)),)</f>
        <v>200</v>
      </c>
      <c r="AW489" s="7">
        <f>Tabela3[[#This Row],[Ativos]]*[Lucro]</f>
        <v>13.059793112534493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3.79</v>
      </c>
      <c r="BB489" s="7">
        <f>SUMPRODUCT(N(Tabela17683[Código]=Tabela3[[#This Row],[PAPEL]]),Tabela17683[Fechamento])</f>
        <v>0</v>
      </c>
    </row>
    <row r="490" spans="1:54" ht="11.25" customHeight="1">
      <c r="A490" s="4" t="s">
        <v>12</v>
      </c>
      <c r="B490" s="60" t="s">
        <v>154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6990373061.3499994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0" s="19">
        <f>IF(Tabela3[[#This Row],[Lucro Líquido]]&gt;0,Tabela3[[#This Row],[Lucro Líquido]]/Tabela3[[#This Row],[Patrimônio Líquido]],0)/Tabela3[[#This Row],[Ref]]*4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2.312588816579864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45.79</v>
      </c>
      <c r="AO490" s="44">
        <f>[Cotação]/[VPA]</f>
        <v>1.4113306767847686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45.79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t="11.25" customHeight="1">
      <c r="A491" s="4" t="s">
        <v>12</v>
      </c>
      <c r="B491" s="60" t="s">
        <v>155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3709676029.5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1" s="19">
        <f>IF(Tabela3[[#This Row],[Lucro Líquido]]&gt;0,Tabela3[[#This Row],[Lucro Líquido]]/Tabela3[[#This Row],[Patrimônio Líquido]],0)/Tabela3[[#This Row],[Ref]]*4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2.312588816579864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24.3</v>
      </c>
      <c r="AO491" s="44">
        <f>[Cotação]/[VPA]</f>
        <v>0.74896998134679804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24.3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t="11.25" customHeight="1">
      <c r="A492" s="4" t="s">
        <v>363</v>
      </c>
      <c r="B492" s="57" t="s">
        <v>362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590175289.5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2" s="19">
        <f>IF(Tabela3[[#This Row],[Lucro Líquido]]&gt;0,Tabela3[[#This Row],[Lucro Líquido]]/Tabela3[[#This Row],[Patrimônio Líquido]],0)/Tabela3[[#This Row],[Ref]]*4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2.312588816579864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12.75</v>
      </c>
      <c r="AO492" s="44">
        <f>[Cotação]/[VPA]</f>
        <v>8.2969027933981891</v>
      </c>
      <c r="AP492" s="40">
        <f>IF(Tabela3[[#This Row],[Lucro/Ação]]&gt;0,Tabela3[[#This Row],[Cotação]]/(Tabela3[[#This Row],[Lucro/Ação]]/[Ref]*4),0)</f>
        <v>7.9710330834683951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3.0803532739233735E-2</v>
      </c>
      <c r="AU492" s="19">
        <f>((1+Tabela3[[#This Row],[% Yield]])^(1/(3*Tabela3[[#This Row],[Ref]])))^(12)-1</f>
        <v>3.0803532739232642E-2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12.75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t="11.25" customHeight="1">
      <c r="A493" s="3" t="s">
        <v>1320</v>
      </c>
      <c r="B493" s="58" t="s">
        <v>1299</v>
      </c>
      <c r="C493" s="16" t="str">
        <f>LEFT([PAPEL],LEN([PAPEL])-(LEN([PAPEL])-4))</f>
        <v>TUPY</v>
      </c>
      <c r="D493" s="16">
        <v>4</v>
      </c>
      <c r="E493" s="5">
        <v>1053760000</v>
      </c>
      <c r="F493" s="56">
        <v>144177500</v>
      </c>
      <c r="G493" s="81">
        <v>0.25</v>
      </c>
      <c r="H493" s="87"/>
      <c r="J493" s="18"/>
      <c r="K493" s="16"/>
      <c r="L493" s="87"/>
      <c r="M493" s="54">
        <v>4169427000</v>
      </c>
      <c r="N493" s="54">
        <v>1345023000</v>
      </c>
      <c r="O493" s="54">
        <v>549750000</v>
      </c>
      <c r="P493" s="91">
        <v>1901901000</v>
      </c>
      <c r="Q493" s="73">
        <v>86321000</v>
      </c>
      <c r="R493" s="73">
        <f>IF(Tabela3[[#This Row],[Ativo || Passivo]]&gt;0,Tabela3[[#This Row],[Ativo || Passivo]]-Tabela3[[#This Row],[Patrimônio Líquido]],0)</f>
        <v>2267526000</v>
      </c>
      <c r="S493" s="73">
        <f>Tabela3[[#This Row],[Cotação]]*Tabela3[[#This Row],[Total Ações]]</f>
        <v>2557708850</v>
      </c>
      <c r="T493" s="37">
        <f>IF(Tabela3[[#This Row],[Passivo Circulante]]&gt;0,Tabela3[[#This Row],[Ativo Circulante]]/Tabela3[[#This Row],[Passivo Circulante]],0)</f>
        <v>2.4466084583901773</v>
      </c>
      <c r="U49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3" s="18">
        <f>IF(Tabela3[[#This Row],[Lucro Líquido]]&gt;0,Tabela3[[#This Row],[Lucro Líquido]]/Tabela3[[#This Row],[Patrimônio Líquido]],0)/Tabela3[[#This Row],[Ref]]*4</f>
        <v>4.5386694680743106E-2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3" s="18">
        <f>IF(Tabela3[[#This Row],[Dívida]]&gt;0,Tabela3[[#This Row],[Dívida]]/Tabela3[[#This Row],[Patrimônio Líquido]],0)</f>
        <v>1.1922418674789066</v>
      </c>
      <c r="Y493" s="18">
        <f>SUMPRODUCT(N([Dívida / PL]&gt;0),N(RIGHT([PAPEL],LEN([PAPEL])-(LEN([PAPEL])-1))="3"),[Dívida / PL])/SUMPRODUCT(N([Dívida / PL]&gt;0),N(RIGHT([PAPEL],LEN([PAPEL])-(LEN([PAPEL])-1))="3"))</f>
        <v>2.312588816579864</v>
      </c>
      <c r="Z493" s="7">
        <f>Tabela3[[#This Row],[Capital Social]]*20%</f>
        <v>210752000</v>
      </c>
      <c r="AA493" s="47">
        <f>IF(([Lucro Líquido]*5%)&gt;[Teto R. Legal],[Teto R. Legal],[Lucro Líquido]*5%)</f>
        <v>4316050</v>
      </c>
      <c r="AB493" s="47">
        <f>IF([Lucro Líquido]&lt;0,0,[Lucro Líquido]-[Reserva Legal])</f>
        <v>82004950</v>
      </c>
      <c r="AC493" s="47">
        <f>Tabela3[[#This Row],[Lucro Distribuir]]*[%Div]</f>
        <v>20501237.5</v>
      </c>
      <c r="AD493" s="56">
        <f>SUMPRODUCT(N([Nome]=Tabela3[[#This Row],[Nome]]),[Ações])</f>
        <v>144177500</v>
      </c>
      <c r="AE493" s="85">
        <f>[Capital Social]/[Total Ações]</f>
        <v>7.3087687052418024</v>
      </c>
      <c r="AF493" s="85">
        <f>Tabela3[[#This Row],[Lucro Líquido]]/Tabela3[[#This Row],[Total Ações]]</f>
        <v>0.59871339147925295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3" s="7">
        <f>[Div Base]*[Ações]</f>
        <v>20501237.499999996</v>
      </c>
      <c r="AL493" s="120">
        <f>SUMPRODUCT(N([Nome]=Tabela3[[#This Row],[Nome]]),[Div Base]*[Ações])</f>
        <v>20501237.499999996</v>
      </c>
      <c r="AM493" s="5">
        <f>[Patrimônio Líquido]/[Total Ações]</f>
        <v>13.191385618421737</v>
      </c>
      <c r="AN493" s="52">
        <f>MAX(Tabela3[[#This Row],[Cotação 1]:[Cotação 5]])</f>
        <v>17.739999999999998</v>
      </c>
      <c r="AO493" s="53">
        <f>[Cotação]/[VPA]</f>
        <v>1.3448170278053377</v>
      </c>
      <c r="AP493" s="37">
        <f>IF(Tabela3[[#This Row],[Lucro/Ação]]&gt;0,Tabela3[[#This Row],[Cotação]]/(Tabela3[[#This Row],[Lucro/Ação]]/[Ref]*4),0)</f>
        <v>29.630204121824352</v>
      </c>
      <c r="AQ493" s="85">
        <f>[Lucro Distribuir]/[Total Ações]</f>
        <v>0.5687777219052903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3" s="10" t="str">
        <f>IF(AND([% A.A.]&gt;=5%,SUMPRODUCT(N([Nome]=Tabela3[[#This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8.0154695871658722E-3</v>
      </c>
      <c r="AU493" s="22">
        <f>((1+Tabela3[[#This Row],[% Yield]])^(1/(3*Tabela3[[#This Row],[Ref]])))^(12)-1</f>
        <v>8.0154695871663684E-3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17.739999999999998</v>
      </c>
    </row>
    <row r="494" spans="1:54" ht="11.25" customHeight="1">
      <c r="A494" s="3" t="s">
        <v>865</v>
      </c>
      <c r="B494" s="58" t="s">
        <v>866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289458274.31999999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4" s="18">
        <f>IF(Tabela3[[#This Row],[Lucro Líquido]]&gt;0,Tabela3[[#This Row],[Lucro Líquido]]/Tabela3[[#This Row],[Patrimônio Líquido]],0)/Tabela3[[#This Row],[Ref]]*4</f>
        <v>8.3857244001242559E-2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2.312588816579864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4.38</v>
      </c>
      <c r="AO494" s="53">
        <f>[Cotação]/[VPA]</f>
        <v>1.3693027343642823</v>
      </c>
      <c r="AP494" s="37">
        <f>IF(Tabela3[[#This Row],[Lucro/Ação]]&gt;0,Tabela3[[#This Row],[Cotação]]/(Tabela3[[#This Row],[Lucro/Ação]]/[Ref]*4),0)</f>
        <v>16.328973729973676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1.0908523888003535E-2</v>
      </c>
      <c r="AU494" s="22">
        <f>((1+Tabela3[[#This Row],[% Yield]])^(1/(3*Tabela3[[#This Row],[Ref]])))^(12)-1</f>
        <v>1.4571078236683466E-2</v>
      </c>
      <c r="AV494" s="10">
        <f>IF([Cotação]&gt;0,($BH$1/Tabela3[[#This Row],[Cotação]]-MOD($BH$1/Tabela3[[#This Row],[Cotação]],100)),)</f>
        <v>200</v>
      </c>
      <c r="AW494" s="7">
        <f>Tabela3[[#This Row],[Ativos]]*[Lucro]</f>
        <v>9.5558669258910953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4.38</v>
      </c>
      <c r="BB494" s="7">
        <f>SUMPRODUCT(N(Tabela17683[Código]=Tabela3[[#This Row],[PAPEL]]),Tabela17683[Fechamento])</f>
        <v>0</v>
      </c>
    </row>
    <row r="495" spans="1:54" ht="11.25" customHeight="1">
      <c r="A495" s="3" t="s">
        <v>289</v>
      </c>
      <c r="B495" s="58" t="s">
        <v>296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28356962351.640003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5" s="18">
        <f>IF(Tabela3[[#This Row],[Lucro Líquido]]&gt;0,Tabela3[[#This Row],[Lucro Líquido]]/Tabela3[[#This Row],[Patrimônio Líquido]],0)/Tabela3[[#This Row],[Ref]]*4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2.312588816579864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52.09</v>
      </c>
      <c r="AO495" s="53">
        <f>[Cotação]/[VPA]</f>
        <v>4.3492533700186247</v>
      </c>
      <c r="AP495" s="37">
        <f>IF(Tabela3[[#This Row],[Lucro/Ação]]&gt;0,Tabela3[[#This Row],[Cotação]]/(Tabela3[[#This Row],[Lucro/Ação]]/[Ref]*4),0)</f>
        <v>23.145838772812645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2.0522047382354542E-2</v>
      </c>
      <c r="AU495" s="18">
        <f>((1+Tabela3[[#This Row],[% Yield]])^(1/(3*Tabela3[[#This Row],[Ref]])))^(12)-1</f>
        <v>2.0522047382354636E-2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52.09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24" t="s">
        <v>40</v>
      </c>
      <c r="B496" s="57" t="s">
        <v>414</v>
      </c>
      <c r="C496" s="84" t="str">
        <f>LEFT([PAPEL],LEN([PAPEL])-(LEN([PAPEL])-4))</f>
        <v>UNIP</v>
      </c>
      <c r="D496" s="15">
        <v>3</v>
      </c>
      <c r="E496" s="6">
        <v>384330953.12</v>
      </c>
      <c r="F496" s="8">
        <v>278500690</v>
      </c>
      <c r="G496" s="86">
        <v>0.25</v>
      </c>
      <c r="H496" s="15"/>
      <c r="I496" s="19"/>
      <c r="J496" s="19"/>
      <c r="K496" s="88"/>
      <c r="L496" s="88"/>
      <c r="M496" s="13">
        <v>1728469000</v>
      </c>
      <c r="N496" s="13">
        <v>380787000</v>
      </c>
      <c r="O496" s="13">
        <v>247703000</v>
      </c>
      <c r="P496" s="28">
        <v>740932000</v>
      </c>
      <c r="Q496" s="28">
        <v>342727000</v>
      </c>
      <c r="R496" s="28">
        <f>IF(Tabela3[[#This Row],[Ativo || Passivo]]&gt;0,Tabela3[[#This Row],[Ativo || Passivo]]-Tabela3[[#This Row],[Patrimônio Líquido]],0)</f>
        <v>987537000</v>
      </c>
      <c r="S496" s="128">
        <f>Tabela3[[#This Row],[Cotação]]*Tabela3[[#This Row],[Total Ações]]</f>
        <v>484591201.75999999</v>
      </c>
      <c r="T496" s="131">
        <f>IF(Tabela3[[#This Row],[Passivo Circulante]]&gt;0,Tabela3[[#This Row],[Ativo Circulante]]/Tabela3[[#This Row],[Passivo Circulante]],0)</f>
        <v>1.5372724593565681</v>
      </c>
      <c r="U496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6" s="49">
        <f>IF(Tabela3[[#This Row],[Lucro Líquido]]&gt;0,Tabela3[[#This Row],[Lucro Líquido]]/Tabela3[[#This Row],[Patrimônio Líquido]],0)/Tabela3[[#This Row],[Ref]]*4</f>
        <v>0.61674935531645725</v>
      </c>
      <c r="W496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6" s="49">
        <f>IF(Tabela3[[#This Row],[Dívida]]&gt;0,Tabela3[[#This Row],[Dívida]]/Tabela3[[#This Row],[Patrimônio Líquido]],0)</f>
        <v>1.3328308130840616</v>
      </c>
      <c r="Y496" s="49">
        <f>SUMPRODUCT(N([Dívida / PL]&gt;0),N(RIGHT([PAPEL],LEN([PAPEL])-(LEN([PAPEL])-1))="3"),[Dívida / PL])/SUMPRODUCT(N([Dívida / PL]&gt;0),N(RIGHT([PAPEL],LEN([PAPEL])-(LEN([PAPEL])-1))="3"))</f>
        <v>2.312588816579864</v>
      </c>
      <c r="Z496" s="13">
        <f>Tabela3[[#This Row],[Capital Social]]*20%</f>
        <v>76866190.623999998</v>
      </c>
      <c r="AA496" s="13">
        <f>IF(([Lucro Líquido]*5%)&gt;[Teto R. Legal],[Teto R. Legal],[Lucro Líquido]*5%)</f>
        <v>17136350</v>
      </c>
      <c r="AB496" s="13">
        <f>IF([Lucro Líquido]&lt;0,0,[Lucro Líquido]-[Reserva Legal])</f>
        <v>325590650</v>
      </c>
      <c r="AC496" s="13">
        <f>Tabela3[[#This Row],[Lucro Distribuir]]*[%Div]</f>
        <v>81397662.5</v>
      </c>
      <c r="AD496" s="21">
        <f>SUMPRODUCT(N([Nome]=Tabela3[[#This Row],[Nome]]),[Ações])</f>
        <v>835502072</v>
      </c>
      <c r="AE496" s="5">
        <f>[Capital Social]/[Total Ações]</f>
        <v>0.46</v>
      </c>
      <c r="AF496" s="78">
        <f>Tabela3[[#This Row],[Lucro Líquido]]/Tabela3[[#This Row],[Total Ações]]</f>
        <v>0.4102048474632628</v>
      </c>
      <c r="AG4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4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6" s="13">
        <f>[Div Base]*[Ações]</f>
        <v>27132554.101717565</v>
      </c>
      <c r="AL496" s="13">
        <f>SUMPRODUCT(N([Nome]=Tabela3[[#This Row],[Nome]]),[Div Base]*[Ações])</f>
        <v>81397662.5</v>
      </c>
      <c r="AM496" s="6">
        <f>[Patrimônio Líquido]/[Total Ações]</f>
        <v>0.88681048776621108</v>
      </c>
      <c r="AN496" s="48">
        <f>MAX(Tabela3[[#This Row],[Cotação 1]:[Cotação 5]])</f>
        <v>0.57999999999999996</v>
      </c>
      <c r="AO496" s="44">
        <f>[Cotação]/[VPA]</f>
        <v>0.65402925202312756</v>
      </c>
      <c r="AP496" s="40">
        <f>IF(Tabela3[[#This Row],[Lucro/Ação]]&gt;0,Tabela3[[#This Row],[Cotação]]/(Tabela3[[#This Row],[Lucro/Ação]]/[Ref]*4),0)</f>
        <v>1.0604457813945207</v>
      </c>
      <c r="AQ496" s="78">
        <f>[Lucro Distribuir]/[Total Ações]</f>
        <v>0.38969460509009962</v>
      </c>
      <c r="AR49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6" s="15" t="str">
        <f>IF(AND([% A.A.]&gt;=5%,SUMPRODUCT(N([Nome]=Tabela3[[#This Row],[Nome]]),[PL])&gt;0,[Rentabilidade s/ PL]&gt;=[Rentabilidade s/ PL Média]),"Sim","Não")</f>
        <v>Sim</v>
      </c>
      <c r="AT496" s="42">
        <f>IF([Cotação]&gt;0,Tabela3[[#This Row],[Lucro]]/Tabela3[[#This Row],[Cotação]],0)</f>
        <v>0.16797181253883606</v>
      </c>
      <c r="AU496" s="19">
        <f>((1+Tabela3[[#This Row],[% Yield]])^(1/(3*Tabela3[[#This Row],[Ref]])))^(12)-1</f>
        <v>0.23001332339324509</v>
      </c>
      <c r="AV496" s="14">
        <f>IF([Cotação]&gt;0,($BH$1/Tabela3[[#This Row],[Cotação]]-MOD($BH$1/Tabela3[[#This Row],[Cotação]],100)),)</f>
        <v>1500</v>
      </c>
      <c r="AW496" s="17">
        <f>Tabela3[[#This Row],[Ativos]]*[Lucro]</f>
        <v>146.13547690878735</v>
      </c>
      <c r="AX496" s="13">
        <f>SUMPRODUCT(N(Tabela1[Código]=Tabela3[[#This Row],[PAPEL]]),Tabela1[Fechamento])</f>
        <v>0</v>
      </c>
      <c r="AY496" s="55">
        <f>SUMPRODUCT(N(Tabela17[Código]=Tabela3[[#This Row],[PAPEL]]),Tabela17[Fechamento])</f>
        <v>0.57999999999999996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24" t="s">
        <v>40</v>
      </c>
      <c r="B497" s="57" t="s">
        <v>73</v>
      </c>
      <c r="C497" s="84" t="str">
        <f>LEFT([PAPEL],LEN([PAPEL])-(LEN([PAPEL])-4))</f>
        <v>UNIP</v>
      </c>
      <c r="D497" s="15">
        <v>3</v>
      </c>
      <c r="E497" s="6">
        <v>384330953.12</v>
      </c>
      <c r="F497" s="8">
        <v>25907109</v>
      </c>
      <c r="G497" s="81">
        <v>0.25</v>
      </c>
      <c r="H497" s="15"/>
      <c r="I497" s="19">
        <v>0.1</v>
      </c>
      <c r="J497" s="19"/>
      <c r="K497" s="88"/>
      <c r="L497" s="88"/>
      <c r="M497" s="13">
        <v>1728469000</v>
      </c>
      <c r="N497" s="13">
        <v>380787000</v>
      </c>
      <c r="O497" s="13">
        <v>247703000</v>
      </c>
      <c r="P497" s="28">
        <v>740932000</v>
      </c>
      <c r="Q497" s="28">
        <v>342727000</v>
      </c>
      <c r="R497" s="28">
        <f>IF(Tabela3[[#This Row],[Ativo || Passivo]]&gt;0,Tabela3[[#This Row],[Ativo || Passivo]]-Tabela3[[#This Row],[Patrimônio Líquido]],0)</f>
        <v>987537000</v>
      </c>
      <c r="S497" s="128">
        <f>Tabela3[[#This Row],[Cotação]]*Tabela3[[#This Row],[Total Ações]]</f>
        <v>501301243.19999999</v>
      </c>
      <c r="T497" s="131">
        <f>IF(Tabela3[[#This Row],[Passivo Circulante]]&gt;0,Tabela3[[#This Row],[Ativo Circulante]]/Tabela3[[#This Row],[Passivo Circulante]],0)</f>
        <v>1.5372724593565681</v>
      </c>
      <c r="U497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7" s="49">
        <f>IF(Tabela3[[#This Row],[Lucro Líquido]]&gt;0,Tabela3[[#This Row],[Lucro Líquido]]/Tabela3[[#This Row],[Patrimônio Líquido]],0)/Tabela3[[#This Row],[Ref]]*4</f>
        <v>0.61674935531645725</v>
      </c>
      <c r="W497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7" s="49">
        <f>IF(Tabela3[[#This Row],[Dívida]]&gt;0,Tabela3[[#This Row],[Dívida]]/Tabela3[[#This Row],[Patrimônio Líquido]],0)</f>
        <v>1.3328308130840616</v>
      </c>
      <c r="Y497" s="49">
        <f>SUMPRODUCT(N([Dívida / PL]&gt;0),N(RIGHT([PAPEL],LEN([PAPEL])-(LEN([PAPEL])-1))="3"),[Dívida / PL])/SUMPRODUCT(N([Dívida / PL]&gt;0),N(RIGHT([PAPEL],LEN([PAPEL])-(LEN([PAPEL])-1))="3"))</f>
        <v>2.312588816579864</v>
      </c>
      <c r="Z497" s="13">
        <f>Tabela3[[#This Row],[Capital Social]]*20%</f>
        <v>76866190.623999998</v>
      </c>
      <c r="AA497" s="13">
        <f>IF(([Lucro Líquido]*5%)&gt;[Teto R. Legal],[Teto R. Legal],[Lucro Líquido]*5%)</f>
        <v>17136350</v>
      </c>
      <c r="AB497" s="13">
        <f>IF([Lucro Líquido]&lt;0,0,[Lucro Líquido]-[Reserva Legal])</f>
        <v>325590650</v>
      </c>
      <c r="AC497" s="13">
        <f>Tabela3[[#This Row],[Lucro Distribuir]]*[%Div]</f>
        <v>81397662.5</v>
      </c>
      <c r="AD497" s="21">
        <f>SUMPRODUCT(N([Nome]=Tabela3[[#This Row],[Nome]]),[Ações])</f>
        <v>835502072</v>
      </c>
      <c r="AE497" s="5">
        <f>[Capital Social]/[Total Ações]</f>
        <v>0.46</v>
      </c>
      <c r="AF497" s="78">
        <f>Tabela3[[#This Row],[Lucro Líquido]]/Tabela3[[#This Row],[Total Ações]]</f>
        <v>0.4102048474632628</v>
      </c>
      <c r="AG4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7" s="13">
        <f>[Div Base]*[Ações]</f>
        <v>2523965.1526952912</v>
      </c>
      <c r="AL497" s="13">
        <f>SUMPRODUCT(N([Nome]=Tabela3[[#This Row],[Nome]]),[Div Base]*[Ações])</f>
        <v>81397662.5</v>
      </c>
      <c r="AM497" s="6">
        <f>[Patrimônio Líquido]/[Total Ações]</f>
        <v>0.88681048776621108</v>
      </c>
      <c r="AN497" s="48">
        <f>MAX(Tabela3[[#This Row],[Cotação 1]:[Cotação 5]])</f>
        <v>0.6</v>
      </c>
      <c r="AO497" s="44">
        <f>[Cotação]/[VPA]</f>
        <v>0.67658198485151133</v>
      </c>
      <c r="AP497" s="40">
        <f>IF(Tabela3[[#This Row],[Lucro/Ação]]&gt;0,Tabela3[[#This Row],[Cotação]]/(Tabela3[[#This Row],[Lucro/Ação]]/[Ref]*4),0)</f>
        <v>1.0970128773046768</v>
      </c>
      <c r="AQ497" s="78">
        <f>[Lucro Distribuir]/[Total Ações]</f>
        <v>0.38969460509009962</v>
      </c>
      <c r="AR497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7" s="15" t="str">
        <f>IF(AND([% A.A.]&gt;=5%,SUMPRODUCT(N([Nome]=Tabela3[[#This Row],[Nome]]),[PL])&gt;0,[Rentabilidade s/ PL]&gt;=[Rentabilidade s/ PL Média]),"Sim","Não")</f>
        <v>Sim</v>
      </c>
      <c r="AT497" s="42">
        <f>IF([Cotação]&gt;0,Tabela3[[#This Row],[Lucro]]/Tabela3[[#This Row],[Cotação]],0)</f>
        <v>0.16237275212087485</v>
      </c>
      <c r="AU497" s="19">
        <f>((1+Tabela3[[#This Row],[% Yield]])^(1/(3*Tabela3[[#This Row],[Ref]])))^(12)-1</f>
        <v>0.22215764227711854</v>
      </c>
      <c r="AV497" s="14">
        <f>IF([Cotação]&gt;0,($BH$1/Tabela3[[#This Row],[Cotação]]-MOD($BH$1/Tabela3[[#This Row],[Cotação]],100)),)</f>
        <v>1500</v>
      </c>
      <c r="AW497" s="17">
        <f>Tabela3[[#This Row],[Ativos]]*[Lucro]</f>
        <v>146.13547690878735</v>
      </c>
      <c r="AX497" s="13">
        <f>SUMPRODUCT(N(Tabela1[Código]=Tabela3[[#This Row],[PAPEL]]),Tabela1[Fechamento])</f>
        <v>0.6</v>
      </c>
      <c r="AY497" s="55">
        <f>SUMPRODUCT(N(Tabela17[Código]=Tabela3[[#This Row],[PAPEL]]),Tabela17[Fechamento])</f>
        <v>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24" t="s">
        <v>40</v>
      </c>
      <c r="B498" s="57" t="s">
        <v>39</v>
      </c>
      <c r="C498" s="82" t="str">
        <f>LEFT([PAPEL],LEN([PAPEL])-(LEN([PAPEL])-4))</f>
        <v>UNIP</v>
      </c>
      <c r="D498" s="15">
        <v>3</v>
      </c>
      <c r="E498" s="6">
        <v>384330953.12</v>
      </c>
      <c r="F498" s="8">
        <v>531094273</v>
      </c>
      <c r="G498" s="86">
        <v>0.25</v>
      </c>
      <c r="H498" s="19"/>
      <c r="I498" s="19">
        <v>0.1</v>
      </c>
      <c r="J498" s="19"/>
      <c r="K498" s="88"/>
      <c r="L498" s="88"/>
      <c r="M498" s="13">
        <v>1728469000</v>
      </c>
      <c r="N498" s="13">
        <v>380787000</v>
      </c>
      <c r="O498" s="13">
        <v>247703000</v>
      </c>
      <c r="P498" s="28">
        <v>740932000</v>
      </c>
      <c r="Q498" s="28">
        <v>342727000</v>
      </c>
      <c r="R498" s="28">
        <f>IF(Tabela3[[#This Row],[Ativo || Passivo]]&gt;0,Tabela3[[#This Row],[Ativo || Passivo]]-Tabela3[[#This Row],[Patrimônio Líquido]],0)</f>
        <v>987537000</v>
      </c>
      <c r="S498" s="128">
        <f>Tabela3[[#This Row],[Cotação]]*Tabela3[[#This Row],[Total Ações]]</f>
        <v>359265890.95999998</v>
      </c>
      <c r="T498" s="131">
        <f>IF(Tabela3[[#This Row],[Passivo Circulante]]&gt;0,Tabela3[[#This Row],[Ativo Circulante]]/Tabela3[[#This Row],[Passivo Circulante]],0)</f>
        <v>1.5372724593565681</v>
      </c>
      <c r="U498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8" s="49">
        <f>IF(Tabela3[[#This Row],[Lucro Líquido]]&gt;0,Tabela3[[#This Row],[Lucro Líquido]]/Tabela3[[#This Row],[Patrimônio Líquido]],0)/Tabela3[[#This Row],[Ref]]*4</f>
        <v>0.61674935531645725</v>
      </c>
      <c r="W498" s="4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8" s="49">
        <f>IF(Tabela3[[#This Row],[Dívida]]&gt;0,Tabela3[[#This Row],[Dívida]]/Tabela3[[#This Row],[Patrimônio Líquido]],0)</f>
        <v>1.3328308130840616</v>
      </c>
      <c r="Y498" s="49">
        <f>SUMPRODUCT(N([Dívida / PL]&gt;0),N(RIGHT([PAPEL],LEN([PAPEL])-(LEN([PAPEL])-1))="3"),[Dívida / PL])/SUMPRODUCT(N([Dívida / PL]&gt;0),N(RIGHT([PAPEL],LEN([PAPEL])-(LEN([PAPEL])-1))="3"))</f>
        <v>2.312588816579864</v>
      </c>
      <c r="Z498" s="28">
        <f>Tabela3[[#This Row],[Capital Social]]*20%</f>
        <v>76866190.623999998</v>
      </c>
      <c r="AA498" s="28">
        <f>IF(([Lucro Líquido]*5%)&gt;[Teto R. Legal],[Teto R. Legal],[Lucro Líquido]*5%)</f>
        <v>17136350</v>
      </c>
      <c r="AB498" s="28">
        <f>IF([Lucro Líquido]&lt;0,0,[Lucro Líquido]-[Reserva Legal])</f>
        <v>325590650</v>
      </c>
      <c r="AC498" s="28">
        <f>Tabela3[[#This Row],[Lucro Distribuir]]*[%Div]</f>
        <v>81397662.5</v>
      </c>
      <c r="AD498" s="21">
        <f>SUMPRODUCT(N([Nome]=Tabela3[[#This Row],[Nome]]),[Ações])</f>
        <v>835502072</v>
      </c>
      <c r="AE498" s="5">
        <f>[Capital Social]/[Total Ações]</f>
        <v>0.46</v>
      </c>
      <c r="AF498" s="78">
        <f>Tabela3[[#This Row],[Lucro Líquido]]/Tabela3[[#This Row],[Total Ações]]</f>
        <v>0.4102048474632628</v>
      </c>
      <c r="AG49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8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8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8" s="28">
        <f>[Div Base]*[Ações]</f>
        <v>51741143.24558714</v>
      </c>
      <c r="AL498" s="28">
        <f>SUMPRODUCT(N([Nome]=Tabela3[[#This Row],[Nome]]),[Div Base]*[Ações])</f>
        <v>81397662.5</v>
      </c>
      <c r="AM498" s="6">
        <f>[Patrimônio Líquido]/[Total Ações]</f>
        <v>0.88681048776621108</v>
      </c>
      <c r="AN498" s="48">
        <f>MAX(Tabela3[[#This Row],[Cotação 1]:[Cotação 5]])</f>
        <v>0.43</v>
      </c>
      <c r="AO498" s="44">
        <f>[Cotação]/[VPA]</f>
        <v>0.48488375581024978</v>
      </c>
      <c r="AP498" s="40">
        <f>IF(Tabela3[[#This Row],[Lucro/Ação]]&gt;0,Tabela3[[#This Row],[Cotação]]/(Tabela3[[#This Row],[Lucro/Ação]]/[Ref]*4),0)</f>
        <v>0.78619256206835164</v>
      </c>
      <c r="AQ498" s="78">
        <f>[Lucro Distribuir]/[Total Ações]</f>
        <v>0.38969460509009962</v>
      </c>
      <c r="AR498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8" s="14" t="str">
        <f>IF(AND([% A.A.]&gt;=5%,SUMPRODUCT(N([Nome]=Tabela3[[#This Row],[Nome]]),[PL])&gt;0,[Rentabilidade s/ PL]&gt;=[Rentabilidade s/ PL Média]),"Sim","Não")</f>
        <v>Sim</v>
      </c>
      <c r="AT498" s="42">
        <f>IF([Cotação]&gt;0,Tabela3[[#This Row],[Lucro]]/Tabela3[[#This Row],[Cotação]],0)</f>
        <v>0.22656663086633699</v>
      </c>
      <c r="AU498" s="19">
        <f>((1+Tabela3[[#This Row],[% Yield]])^(1/(3*Tabela3[[#This Row],[Ref]])))^(12)-1</f>
        <v>0.31297017383266423</v>
      </c>
      <c r="AV498" s="14">
        <f>IF([Cotação]&gt;0,($BH$1/Tabela3[[#This Row],[Cotação]]-MOD($BH$1/Tabela3[[#This Row],[Cotação]],100)),)</f>
        <v>2000</v>
      </c>
      <c r="AW498" s="17">
        <f>Tabela3[[#This Row],[Ativos]]*[Lucro]</f>
        <v>194.84730254504981</v>
      </c>
      <c r="AX498" s="17">
        <f>SUMPRODUCT(N(Tabela1[Código]=Tabela3[[#This Row],[PAPEL]]),Tabela1[Fechamento])</f>
        <v>0.43</v>
      </c>
      <c r="AY498" s="17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t="11.25" customHeight="1">
      <c r="A499" s="4" t="s">
        <v>232</v>
      </c>
      <c r="B499" s="57" t="s">
        <v>589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8692655468.3000011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9" s="19">
        <f>IF(Tabela3[[#This Row],[Lucro Líquido]]&gt;0,Tabela3[[#This Row],[Lucro Líquido]]/Tabela3[[#This Row],[Patrimônio Líquido]],0)/Tabela3[[#This Row],[Ref]]*4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2.312588816579864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8.57</v>
      </c>
      <c r="AO499" s="44">
        <f>[Cotação]/[VPA]</f>
        <v>0.52014739838802371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A.A.]&gt;=5%,SUMPRODUCT(N([Nome]=Tabela3[[#This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100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8.57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t="11.25" customHeight="1">
      <c r="A500" s="4" t="s">
        <v>232</v>
      </c>
      <c r="B500" s="57" t="s">
        <v>590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9250527172.7999992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0" s="19">
        <f>IF(Tabela3[[#This Row],[Lucro Líquido]]&gt;0,Tabela3[[#This Row],[Lucro Líquido]]/Tabela3[[#This Row],[Patrimônio Líquido]],0)/Tabela3[[#This Row],[Ref]]*4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2.312588816579864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9.1199999999999992</v>
      </c>
      <c r="AO500" s="44">
        <f>[Cotação]/[VPA]</f>
        <v>0.55352908673264589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9.1199999999999992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t="11.25" customHeight="1">
      <c r="A501" s="4" t="s">
        <v>232</v>
      </c>
      <c r="B501" s="57" t="s">
        <v>591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1" s="19">
        <f>IF(Tabela3[[#This Row],[Lucro Líquido]]&gt;0,Tabela3[[#This Row],[Lucro Líquido]]/Tabela3[[#This Row],[Patrimônio Líquido]],0)/Tabela3[[#This Row],[Ref]]*4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2.312588816579864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t="11.25" customHeight="1">
      <c r="A502" s="3" t="s">
        <v>842</v>
      </c>
      <c r="B502" s="58" t="s">
        <v>841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1173893374.6799998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2" s="18">
        <f>IF(Tabela3[[#This Row],[Lucro Líquido]]&gt;0,Tabela3[[#This Row],[Lucro Líquido]]/Tabela3[[#This Row],[Patrimônio Líquido]],0)/Tabela3[[#This Row],[Ref]]*4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2.312588816579864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3.03</v>
      </c>
      <c r="AO502" s="53">
        <f>[Cotação]/[VPA]</f>
        <v>0.87699208818530561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200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3.03</v>
      </c>
      <c r="BB502" s="7">
        <f>SUMPRODUCT(N(Tabela17683[Código]=Tabela3[[#This Row],[PAPEL]]),Tabela17683[Fechamento])</f>
        <v>0</v>
      </c>
    </row>
    <row r="503" spans="1:54" ht="11.25" customHeight="1">
      <c r="A503" s="4" t="s">
        <v>320</v>
      </c>
      <c r="B503" s="57" t="s">
        <v>652</v>
      </c>
      <c r="C503" s="82" t="str">
        <f>LEFT([PAPEL],LEN([PAPEL])-(LEN([PAPEL])-4))</f>
        <v>VALE</v>
      </c>
      <c r="D503" s="15">
        <v>4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>
        <v>260068064000</v>
      </c>
      <c r="N503" s="55">
        <v>38161479000</v>
      </c>
      <c r="O503" s="55">
        <v>18269775000</v>
      </c>
      <c r="P503" s="6">
        <v>148345907000</v>
      </c>
      <c r="Q503" s="5">
        <v>115091000</v>
      </c>
      <c r="R503" s="5">
        <f>IF(Tabela3[[#This Row],[Ativo || Passivo]]&gt;0,Tabela3[[#This Row],[Ativo || Passivo]]-Tabela3[[#This Row],[Patrimônio Líquido]],0)</f>
        <v>111722157000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2.0887766269699544</v>
      </c>
      <c r="U503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3" s="18">
        <f>IF(Tabela3[[#This Row],[Lucro Líquido]]&gt;0,Tabela3[[#This Row],[Lucro Líquido]]/Tabela3[[#This Row],[Patrimônio Líquido]],0)/Tabela3[[#This Row],[Ref]]*4</f>
        <v>7.758286179071998E-4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3" s="18">
        <f>IF(Tabela3[[#This Row],[Dívida]]&gt;0,Tabela3[[#This Row],[Dívida]]/Tabela3[[#This Row],[Patrimônio Líquido]],0)</f>
        <v>0.75311924177321588</v>
      </c>
      <c r="Y503" s="18">
        <f>SUMPRODUCT(N([Dívida / PL]&gt;0),N(RIGHT([PAPEL],LEN([PAPEL])-(LEN([PAPEL])-1))="3"),[Dívida / PL])/SUMPRODUCT(N([Dívida / PL]&gt;0),N(RIGHT([PAPEL],LEN([PAPEL])-(LEN([PAPEL])-1))="3"))</f>
        <v>2.312588816579864</v>
      </c>
      <c r="Z503" s="28">
        <f>Tabela3[[#This Row],[Capital Social]]*20%</f>
        <v>15000000000</v>
      </c>
      <c r="AA503" s="28">
        <f>IF(([Lucro Líquido]*5%)&gt;[Teto R. Legal],[Teto R. Legal],[Lucro Líquido]*5%)</f>
        <v>5754550</v>
      </c>
      <c r="AB503" s="28">
        <f>IF([Lucro Líquido]&lt;0,0,[Lucro Líquido]-[Reserva Legal])</f>
        <v>109336450</v>
      </c>
      <c r="AC503" s="28">
        <f>Tabela3[[#This Row],[Lucro Distribuir]]*[%Div]</f>
        <v>27334112.5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2.1450974232755979E-2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28">
        <f>[Div Base]*[Ações]</f>
        <v>0</v>
      </c>
      <c r="AL503" s="28">
        <f>SUMPRODUCT(N([Nome]=Tabela3[[#This Row],[Nome]]),[Div Base]*[Ações])</f>
        <v>1749010774.1363077</v>
      </c>
      <c r="AM503" s="6">
        <f>[Patrimônio Líquido]/[Total Ações]</f>
        <v>27.649114427642601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2.0378425521118178E-2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4" t="str">
        <f>IF(AND([% A.A.]&gt;=5%,SUMPRODUCT(N([Nome]=Tabela3[[#This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t="11.25" customHeight="1">
      <c r="A504" s="4" t="s">
        <v>320</v>
      </c>
      <c r="B504" s="57" t="s">
        <v>321</v>
      </c>
      <c r="C504" s="82" t="str">
        <f>LEFT([PAPEL],LEN([PAPEL])-(LEN([PAPEL])-4))</f>
        <v>VALE</v>
      </c>
      <c r="D504" s="15">
        <v>4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145292435028</v>
      </c>
      <c r="T504" s="130">
        <f>IF(Tabela3[[#This Row],[Passivo Circulante]]&gt;0,Tabela3[[#This Row],[Ativo Circulante]]/Tabela3[[#This Row],[Passivo Circulante]],0)</f>
        <v>2.0887766269699544</v>
      </c>
      <c r="U50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4" s="18">
        <f>IF(Tabela3[[#This Row],[Lucro Líquido]]&gt;0,Tabela3[[#This Row],[Lucro Líquido]]/Tabela3[[#This Row],[Patrimônio Líquido]],0)/Tabela3[[#This Row],[Ref]]*4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2.312588816579864</v>
      </c>
      <c r="Z504" s="6">
        <f>Tabela3[[#This Row],[Capital Social]]*20%</f>
        <v>15000000000</v>
      </c>
      <c r="AA504" s="6">
        <f>IF(([Lucro Líquido]*5%)&gt;[Teto R. Legal],[Teto R. Legal],[Lucro Líquido]*5%)</f>
        <v>5754550</v>
      </c>
      <c r="AB504" s="6">
        <f>IF([Lucro Líquido]&lt;0,0,[Lucro Líquido]-[Reserva Legal])</f>
        <v>109336450</v>
      </c>
      <c r="AC504" s="6">
        <f>Tabela3[[#This Row],[Lucro Distribuir]]*[%Div]</f>
        <v>27334112.5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2.1450974232755979E-2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4" s="6">
        <f>[Div Base]*[Ações]</f>
        <v>1749010774.1363077</v>
      </c>
      <c r="AL504" s="6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27.08</v>
      </c>
      <c r="AO504" s="44">
        <f>[Cotação]/[VPA]</f>
        <v>0.97941654047792492</v>
      </c>
      <c r="AP504" s="40">
        <f>IF(Tabela3[[#This Row],[Lucro/Ação]]&gt;0,Tabela3[[#This Row],[Cotação]]/(Tabela3[[#This Row],[Lucro/Ação]]/[Ref]*4),0)</f>
        <v>1262.4135251931079</v>
      </c>
      <c r="AQ504" s="78">
        <f>[Lucro Distribuir]/[Total Ações]</f>
        <v>2.0378425521118178E-2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4" s="15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3.0630481271391362E-2</v>
      </c>
      <c r="AU504" s="19">
        <f>((1+Tabela3[[#This Row],[% Yield]])^(1/(3*Tabela3[[#This Row],[Ref]])))^(12)-1</f>
        <v>3.0630481271391563E-2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27.08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t="11.25" customHeight="1">
      <c r="A505" s="3" t="s">
        <v>276</v>
      </c>
      <c r="B505" s="58" t="s">
        <v>274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5" s="18">
        <f>IF(Tabela3[[#This Row],[Lucro Líquido]]&gt;0,Tabela3[[#This Row],[Lucro Líquido]]/Tabela3[[#This Row],[Patrimônio Líquido]],0)/Tabela3[[#This Row],[Ref]]*4</f>
        <v>0.10727442542057426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2.312588816579864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100</v>
      </c>
      <c r="AW505" s="7">
        <f>Tabela3[[#This Row],[Ativos]]*[Lucro]</f>
        <v>16.931318325366092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t="11.25" customHeight="1">
      <c r="A506" s="3" t="s">
        <v>1060</v>
      </c>
      <c r="B506" s="57" t="s">
        <v>1094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60355701.359999999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6" s="18">
        <f>IF(Tabela3[[#This Row],[Lucro Líquido]]&gt;0,Tabela3[[#This Row],[Lucro Líquido]]/Tabela3[[#This Row],[Patrimônio Líquido]],0)/Tabela3[[#This Row],[Ref]]*4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2.312588816579864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0.18</v>
      </c>
      <c r="AO506" s="53">
        <f>[Cotação]/[VPA]</f>
        <v>0.1402362097280116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5000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0.18</v>
      </c>
      <c r="BB506" s="7">
        <f>SUMPRODUCT(N(Tabela17683[Código]=Tabela3[[#This Row],[PAPEL]]),Tabela17683[Fechamento])</f>
        <v>0</v>
      </c>
    </row>
    <row r="507" spans="1:54" ht="11.25" customHeight="1">
      <c r="A507" s="3" t="s">
        <v>284</v>
      </c>
      <c r="B507" s="58" t="s">
        <v>285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43448234498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7" s="18">
        <f>IF(Tabela3[[#This Row],[Lucro Líquido]]&gt;0,Tabela3[[#This Row],[Lucro Líquido]]/Tabela3[[#This Row],[Patrimônio Líquido]],0)/Tabela3[[#This Row],[Ref]]*4</f>
        <v>7.5928421810983721E-2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2.312588816579864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38.6</v>
      </c>
      <c r="AO507" s="53">
        <f>[Cotação]/[VPA]</f>
        <v>0.99580939727017959</v>
      </c>
      <c r="AP507" s="37">
        <f>IF(Tabela3[[#This Row],[Lucro/Ação]]&gt;0,Tabela3[[#This Row],[Cotação]]/(Tabela3[[#This Row],[Lucro/Ação]]/[Ref]*4),0)</f>
        <v>13.115107274969423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1.3159088240265833E-2</v>
      </c>
      <c r="AU507" s="18">
        <f>((1+Tabela3[[#This Row],[% Yield]])^(1/(3*Tabela3[[#This Row],[Ref]])))^(12)-1</f>
        <v>1.7583819430124992E-2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38.6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t="11.25" customHeight="1">
      <c r="A508" s="3" t="s">
        <v>284</v>
      </c>
      <c r="B508" s="58" t="s">
        <v>286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50168078020.099998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8" s="18">
        <f>IF(Tabela3[[#This Row],[Lucro Líquido]]&gt;0,Tabela3[[#This Row],[Lucro Líquido]]/Tabela3[[#This Row],[Patrimônio Líquido]],0)/Tabela3[[#This Row],[Ref]]*4</f>
        <v>7.5928421810983721E-2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2.312588816579864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44.57</v>
      </c>
      <c r="AO508" s="53">
        <f>[Cotação]/[VPA]</f>
        <v>1.1498244776251787</v>
      </c>
      <c r="AP508" s="37">
        <f>IF(Tabela3[[#This Row],[Lucro/Ação]]&gt;0,Tabela3[[#This Row],[Cotação]]/(Tabela3[[#This Row],[Lucro/Ação]]/[Ref]*4),0)</f>
        <v>15.14353189754889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1.2536120427352379E-2</v>
      </c>
      <c r="AU508" s="18">
        <f>((1+Tabela3[[#This Row],[% Yield]])^(1/(3*Tabela3[[#This Row],[Ref]])))^(12)-1</f>
        <v>1.6749653633314265E-2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44.57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t="11.25" customHeight="1">
      <c r="A509" s="3" t="s">
        <v>1173</v>
      </c>
      <c r="B509" s="57" t="s">
        <v>1164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1599467500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9" s="18">
        <f>IF(Tabela3[[#This Row],[Lucro Líquido]]&gt;0,Tabela3[[#This Row],[Lucro Líquido]]/Tabela3[[#This Row],[Patrimônio Líquido]],0)/Tabela3[[#This Row],[Ref]]*4</f>
        <v>0.16627661992248205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2.312588816579864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28.69</v>
      </c>
      <c r="AO509" s="53">
        <f>[Cotação]/[VPA]</f>
        <v>2.9474035786020973</v>
      </c>
      <c r="AP509" s="37">
        <f>IF(Tabela3[[#This Row],[Lucro/Ação]]&gt;0,Tabela3[[#This Row],[Cotação]]/(Tabela3[[#This Row],[Lucro/Ação]]/[Ref]*4),0)</f>
        <v>17.725905060953085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1.0048852196121522E-2</v>
      </c>
      <c r="AU509" s="22">
        <f>((1+Tabela3[[#This Row],[% Yield]])^(1/(3*Tabela3[[#This Row],[Ref]])))^(12)-1</f>
        <v>1.3420859566964038E-2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28.69</v>
      </c>
    </row>
    <row r="510" spans="1:54" ht="11.25" customHeight="1">
      <c r="A510" s="3" t="s">
        <v>1201</v>
      </c>
      <c r="B510" s="57" t="s">
        <v>1203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0" s="18">
        <f>IF(Tabela3[[#This Row],[Lucro Líquido]]&gt;0,Tabela3[[#This Row],[Lucro Líquido]]/Tabela3[[#This Row],[Patrimônio Líquido]],0)/Tabela3[[#This Row],[Ref]]*4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2.312588816579864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300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 ht="11.25" customHeight="1">
      <c r="A511" s="3" t="s">
        <v>1201</v>
      </c>
      <c r="B511" s="57" t="s">
        <v>1204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1" s="18">
        <f>IF(Tabela3[[#This Row],[Lucro Líquido]]&gt;0,Tabela3[[#This Row],[Lucro Líquido]]/Tabela3[[#This Row],[Patrimônio Líquido]],0)/Tabela3[[#This Row],[Ref]]*4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2.312588816579864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t="11.25" customHeight="1">
      <c r="A512" s="3" t="s">
        <v>994</v>
      </c>
      <c r="B512" s="58" t="s">
        <v>1000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2" s="18">
        <f>IF(Tabela3[[#This Row],[Lucro Líquido]]&gt;0,Tabela3[[#This Row],[Lucro Líquido]]/Tabela3[[#This Row],[Patrimônio Líquido]],0)/Tabela3[[#This Row],[Ref]]*4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2.312588816579864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t="11.25" customHeight="1">
      <c r="A513" s="3" t="s">
        <v>868</v>
      </c>
      <c r="B513" s="58" t="s">
        <v>879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30397189441.200001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3" s="19">
        <f>IF(Tabela3[[#This Row],[Lucro Líquido]]&gt;0,Tabela3[[#This Row],[Lucro Líquido]]/Tabela3[[#This Row],[Patrimônio Líquido]],0)/Tabela3[[#This Row],[Ref]]*4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2.312588816579864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23.55</v>
      </c>
      <c r="AO513" s="53">
        <f>[Cotação]/[VPA]</f>
        <v>7.6939268906093279</v>
      </c>
      <c r="AP513" s="37">
        <f>IF(Tabela3[[#This Row],[Lucro/Ação]]&gt;0,Tabela3[[#This Row],[Cotação]]/(Tabela3[[#This Row],[Lucro/Ação]]/[Ref]*4),0)</f>
        <v>26.214823991886451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2.7179278419741455E-2</v>
      </c>
      <c r="AU513" s="22">
        <f>((1+Tabela3[[#This Row],[% Yield]])^(1/(3*Tabela3[[#This Row],[Ref]])))^(12)-1</f>
        <v>2.7179278419741104E-2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23.55</v>
      </c>
      <c r="BB513" s="7">
        <f>SUMPRODUCT(N(Tabela17683[Código]=Tabela3[[#This Row],[PAPEL]]),Tabela17683[Fechamento])</f>
        <v>0</v>
      </c>
    </row>
    <row r="514" spans="1:54" ht="11.25" customHeight="1">
      <c r="A514" s="3" t="s">
        <v>868</v>
      </c>
      <c r="B514" s="58" t="s">
        <v>880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7744506864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4" s="18">
        <f>IF(Tabela3[[#This Row],[Lucro Líquido]]&gt;0,Tabela3[[#This Row],[Lucro Líquido]]/Tabela3[[#This Row],[Patrimônio Líquido]],0)/Tabela3[[#This Row],[Ref]]*4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2.312588816579864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6</v>
      </c>
      <c r="AO514" s="53">
        <f>[Cotação]/[VPA]</f>
        <v>1.960236150473714</v>
      </c>
      <c r="AP514" s="37">
        <f>IF(Tabela3[[#This Row],[Lucro/Ação]]&gt;0,Tabela3[[#This Row],[Cotação]]/(Tabela3[[#This Row],[Lucro/Ação]]/[Ref]*4),0)</f>
        <v>6.6789360488882679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3.5559555932495067E-2</v>
      </c>
      <c r="AU514" s="22">
        <f>((1+Tabela3[[#This Row],[% Yield]])^(1/(3*Tabela3[[#This Row],[Ref]])))^(12)-1</f>
        <v>3.5559555932495268E-2</v>
      </c>
      <c r="AV514" s="10">
        <f>IF([Cotação]&gt;0,($BH$1/Tabela3[[#This Row],[Cotação]]-MOD($BH$1/Tabela3[[#This Row],[Cotação]],100)),)</f>
        <v>100</v>
      </c>
      <c r="AW514" s="7">
        <f>Tabela3[[#This Row],[Ativos]]*[Lucro]</f>
        <v>21.33573355949704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6</v>
      </c>
      <c r="BB514" s="7">
        <f>SUMPRODUCT(N(Tabela17683[Código]=Tabela3[[#This Row],[PAPEL]]),Tabela17683[Fechamento])</f>
        <v>0</v>
      </c>
    </row>
    <row r="515" spans="1:54" ht="11.25" customHeight="1">
      <c r="A515" s="3" t="s">
        <v>868</v>
      </c>
      <c r="B515" s="58" t="s">
        <v>881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5" s="18">
        <f>IF(Tabela3[[#This Row],[Lucro Líquido]]&gt;0,Tabela3[[#This Row],[Lucro Líquido]]/Tabela3[[#This Row],[Patrimônio Líquido]],0)/Tabela3[[#This Row],[Ref]]*4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2.312588816579864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t="11.25" customHeight="1">
      <c r="A516" s="3" t="s">
        <v>1269</v>
      </c>
      <c r="B516" s="57" t="s">
        <v>1272</v>
      </c>
      <c r="C516" s="16" t="str">
        <f>LEFT([PAPEL],LEN([PAPEL])-(LEN([PAPEL])-4))</f>
        <v>WEGE</v>
      </c>
      <c r="D516" s="16">
        <v>4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>
        <v>4668281000</v>
      </c>
      <c r="N516" s="54">
        <v>943803000</v>
      </c>
      <c r="O516" s="54">
        <v>99987000</v>
      </c>
      <c r="P516" s="91">
        <v>4557772000</v>
      </c>
      <c r="Q516" s="73">
        <v>843467000</v>
      </c>
      <c r="R516" s="73">
        <f>IF(Tabela3[[#This Row],[Ativo || Passivo]]&gt;0,Tabela3[[#This Row],[Ativo || Passivo]]-Tabela3[[#This Row],[Patrimônio Líquido]],0)</f>
        <v>110509000</v>
      </c>
      <c r="S516" s="73">
        <f>Tabela3[[#This Row],[Cotação]]*Tabela3[[#This Row],[Total Ações]]</f>
        <v>18658196121.450001</v>
      </c>
      <c r="T516" s="37">
        <f>IF(Tabela3[[#This Row],[Passivo Circulante]]&gt;0,Tabela3[[#This Row],[Ativo Circulante]]/Tabela3[[#This Row],[Passivo Circulante]],0)</f>
        <v>9.4392571034234454</v>
      </c>
      <c r="U51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6" s="18">
        <f>IF(Tabela3[[#This Row],[Lucro Líquido]]&gt;0,Tabela3[[#This Row],[Lucro Líquido]]/Tabela3[[#This Row],[Patrimônio Líquido]],0)/Tabela3[[#This Row],[Ref]]*4</f>
        <v>0.18506125361251066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6" s="18">
        <f>IF(Tabela3[[#This Row],[Dívida]]&gt;0,Tabela3[[#This Row],[Dívida]]/Tabela3[[#This Row],[Patrimônio Líquido]],0)</f>
        <v>2.4246276470170074E-2</v>
      </c>
      <c r="Y516" s="18">
        <f>SUMPRODUCT(N([Dívida / PL]&gt;0),N(RIGHT([PAPEL],LEN([PAPEL])-(LEN([PAPEL])-1))="3"),[Dívida / PL])/SUMPRODUCT(N([Dívida / PL]&gt;0),N(RIGHT([PAPEL],LEN([PAPEL])-(LEN([PAPEL])-1))="3"))</f>
        <v>2.312588816579864</v>
      </c>
      <c r="Z516" s="7">
        <f>Tabela3[[#This Row],[Capital Social]]*20%</f>
        <v>543688087.39999998</v>
      </c>
      <c r="AA516" s="47">
        <f>IF(([Lucro Líquido]*5%)&gt;[Teto R. Legal],[Teto R. Legal],[Lucro Líquido]*5%)</f>
        <v>42173350</v>
      </c>
      <c r="AB516" s="47">
        <f>IF([Lucro Líquido]&lt;0,0,[Lucro Líquido]-[Reserva Legal])</f>
        <v>801293650</v>
      </c>
      <c r="AC516" s="47">
        <f>Tabela3[[#This Row],[Lucro Distribuir]]*[%Div]</f>
        <v>200323412.5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1.3584476862080626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6" s="7">
        <f>[Div Base]*[Ações]</f>
        <v>200323412.5</v>
      </c>
      <c r="AL516" s="120">
        <f>SUMPRODUCT(N([Nome]=Tabela3[[#This Row],[Nome]]),[Div Base]*[Ações])</f>
        <v>200323412.5</v>
      </c>
      <c r="AM516" s="5">
        <f>[Patrimônio Líquido]/[Total Ações]</f>
        <v>7.3405300120382826</v>
      </c>
      <c r="AN516" s="52">
        <f>MAX(Tabela3[[#This Row],[Cotação 1]:[Cotação 5]])</f>
        <v>30.05</v>
      </c>
      <c r="AO516" s="53">
        <f>[Cotação]/[VPA]</f>
        <v>4.0937098480244298</v>
      </c>
      <c r="AP516" s="37">
        <f>IF(Tabela3[[#This Row],[Lucro/Ação]]&gt;0,Tabela3[[#This Row],[Cotação]]/(Tabela3[[#This Row],[Lucro/Ação]]/[Ref]*4),0)</f>
        <v>22.120837118049671</v>
      </c>
      <c r="AQ516" s="85">
        <f>[Lucro Distribuir]/[Total Ações]</f>
        <v>1.2905253018976595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1.0736483376852408E-2</v>
      </c>
      <c r="AU516" s="22">
        <f>((1+Tabela3[[#This Row],[% Yield]])^(1/(3*Tabela3[[#This Row],[Ref]])))^(12)-1</f>
        <v>1.0736483376852402E-2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30.05</v>
      </c>
    </row>
    <row r="517" spans="1:54" ht="11.25" customHeight="1">
      <c r="A517" s="3" t="s">
        <v>868</v>
      </c>
      <c r="B517" s="57" t="s">
        <v>869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5770698263.04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7" s="18">
        <f>IF(Tabela3[[#This Row],[Lucro Líquido]]&gt;0,Tabela3[[#This Row],[Lucro Líquido]]/Tabela3[[#This Row],[Patrimônio Líquido]],0)/Tabela3[[#This Row],[Ref]]*4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2.312588816579864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3.84</v>
      </c>
      <c r="AO517" s="53">
        <f>[Cotação]/[VPA]</f>
        <v>2.4544162292734319</v>
      </c>
      <c r="AP517" s="37">
        <f>IF(Tabela3[[#This Row],[Lucro/Ação]]&gt;0,Tabela3[[#This Row],[Cotação]]/(Tabela3[[#This Row],[Lucro/Ação]]/[Ref]*4),0)</f>
        <v>7.1002393894286895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3.2408832894437876E-2</v>
      </c>
      <c r="AU517" s="22">
        <f>((1+Tabela3[[#This Row],[% Yield]])^(1/(3*Tabela3[[#This Row],[Ref]])))^(12)-1</f>
        <v>3.24088328944383E-2</v>
      </c>
      <c r="AV517" s="10">
        <f>IF([Cotação]&gt;0,($BH$1/Tabela3[[#This Row],[Cotação]]-MOD($BH$1/Tabela3[[#This Row],[Cotação]],100)),)</f>
        <v>200</v>
      </c>
      <c r="AW517" s="7">
        <f>Tabela3[[#This Row],[Ativos]]*[Lucro]</f>
        <v>24.889983662928287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3.84</v>
      </c>
      <c r="BB517" s="7">
        <f>SUMPRODUCT(N(Tabela17683[Código]=Tabela3[[#This Row],[PAPEL]]),Tabela17683[Fechamento])</f>
        <v>0</v>
      </c>
    </row>
    <row r="518" spans="1:54" ht="11.25" customHeight="1">
      <c r="A518" s="3" t="s">
        <v>868</v>
      </c>
      <c r="B518" s="57" t="s">
        <v>870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6161422624.5999994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8" s="18">
        <f>IF(Tabela3[[#This Row],[Lucro Líquido]]&gt;0,Tabela3[[#This Row],[Lucro Líquido]]/Tabela3[[#This Row],[Patrimônio Líquido]],0)/Tabela3[[#This Row],[Ref]]*4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2.312588816579864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4.0999999999999996</v>
      </c>
      <c r="AO518" s="53">
        <f>[Cotação]/[VPA]</f>
        <v>2.6206006614638202</v>
      </c>
      <c r="AP518" s="37">
        <f>IF(Tabela3[[#This Row],[Lucro/Ação]]&gt;0,Tabela3[[#This Row],[Cotação]]/(Tabela3[[#This Row],[Lucro/Ação]]/[Ref]*4),0)</f>
        <v>7.5809847647545903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3.3389002520399336E-2</v>
      </c>
      <c r="AU518" s="22">
        <f>((1+Tabela3[[#This Row],[% Yield]])^(1/(3*Tabela3[[#This Row],[Ref]])))^(12)-1</f>
        <v>3.3389002520400224E-2</v>
      </c>
      <c r="AV518" s="10">
        <f>IF([Cotação]&gt;0,($BH$1/Tabela3[[#This Row],[Cotação]]-MOD($BH$1/Tabela3[[#This Row],[Cotação]],100)),)</f>
        <v>200</v>
      </c>
      <c r="AW518" s="7">
        <f>Tabela3[[#This Row],[Ativos]]*[Lucro]</f>
        <v>27.378982066727453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4.0999999999999996</v>
      </c>
      <c r="BB518" s="7">
        <f>SUMPRODUCT(N(Tabela17683[Código]=Tabela3[[#This Row],[PAPEL]]),Tabela17683[Fechamento])</f>
        <v>0</v>
      </c>
    </row>
    <row r="519" spans="1:54" ht="11.25" customHeight="1">
      <c r="A519" s="3" t="s">
        <v>889</v>
      </c>
      <c r="B519" s="58" t="s">
        <v>976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9" s="18">
        <f>IF(Tabela3[[#This Row],[Lucro Líquido]]&gt;0,Tabela3[[#This Row],[Lucro Líquido]]/Tabela3[[#This Row],[Patrimônio Líquido]],0)/Tabela3[[#This Row],[Ref]]*4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0.15078154437655789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2.312588816579864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518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86" r:id="rId7"/>
    <hyperlink ref="B85" r:id="rId8"/>
    <hyperlink ref="B82" r:id="rId9" display="BRKM3"/>
    <hyperlink ref="B81" r:id="rId10" display="BRKM3"/>
    <hyperlink ref="B79" r:id="rId11"/>
    <hyperlink ref="B78" r:id="rId12"/>
    <hyperlink ref="B89" r:id="rId13"/>
    <hyperlink ref="B76" r:id="rId14" display="BRGE3"/>
    <hyperlink ref="B75" r:id="rId15" display="BRGE3"/>
    <hyperlink ref="B74" r:id="rId16" display="BRGE3"/>
    <hyperlink ref="B73" r:id="rId17" display="BRGE3"/>
    <hyperlink ref="B72" r:id="rId18"/>
    <hyperlink ref="B71" r:id="rId19"/>
    <hyperlink ref="B70" r:id="rId20"/>
    <hyperlink ref="B152" r:id="rId21" display="CPLE3"/>
    <hyperlink ref="B151" r:id="rId22" display="CPLE3"/>
    <hyperlink ref="B150" r:id="rId23"/>
    <hyperlink ref="B60" r:id="rId24" display="BNBR4"/>
    <hyperlink ref="B61" r:id="rId25"/>
    <hyperlink ref="B310" r:id="rId26"/>
    <hyperlink ref="B215" r:id="rId27"/>
    <hyperlink ref="B36" r:id="rId28"/>
    <hyperlink ref="B257" r:id="rId29" display="GTDP4B"/>
    <hyperlink ref="B112" r:id="rId30" display="CEBR3"/>
    <hyperlink ref="B111" r:id="rId31" display="CEBR3"/>
    <hyperlink ref="B110" r:id="rId32"/>
    <hyperlink ref="B327" r:id="rId33" display="MERC4"/>
    <hyperlink ref="B142" r:id="rId34" display="CMIG4"/>
    <hyperlink ref="B130" r:id="rId35" display="CESP3"/>
    <hyperlink ref="B129" r:id="rId36" display="CESP3"/>
    <hyperlink ref="B210" r:id="rId37" display="ELPL4"/>
    <hyperlink ref="B363" r:id="rId38" display="PATI4"/>
    <hyperlink ref="B197" r:id="rId39"/>
    <hyperlink ref="B169" r:id="rId40"/>
    <hyperlink ref="B135" r:id="rId41"/>
    <hyperlink ref="B94" r:id="rId42"/>
    <hyperlink ref="B77" r:id="rId43"/>
    <hyperlink ref="B156" r:id="rId44"/>
    <hyperlink ref="B155" r:id="rId45"/>
    <hyperlink ref="B328" r:id="rId46"/>
    <hyperlink ref="B347" r:id="rId47"/>
    <hyperlink ref="B275" r:id="rId48"/>
    <hyperlink ref="B107" r:id="rId49"/>
    <hyperlink ref="B84" r:id="rId50"/>
    <hyperlink ref="B83" r:id="rId51"/>
    <hyperlink ref="B364" r:id="rId52"/>
    <hyperlink ref="B322" r:id="rId53"/>
    <hyperlink ref="B228" r:id="rId54"/>
    <hyperlink ref="B191" r:id="rId55"/>
    <hyperlink ref="B258" r:id="rId56"/>
    <hyperlink ref="B143" r:id="rId57"/>
    <hyperlink ref="B128" r:id="rId58"/>
    <hyperlink ref="B211" r:id="rId59"/>
    <hyperlink ref="B304" r:id="rId60"/>
    <hyperlink ref="B30" r:id="rId61"/>
    <hyperlink ref="B338" r:id="rId62"/>
    <hyperlink ref="B266" r:id="rId63" display="HBTS5"/>
    <hyperlink ref="B68" r:id="rId64"/>
    <hyperlink ref="B67" r:id="rId65"/>
    <hyperlink ref="B361" r:id="rId66"/>
    <hyperlink ref="B360" r:id="rId67"/>
    <hyperlink ref="B292" r:id="rId68"/>
    <hyperlink ref="B69" r:id="rId69"/>
    <hyperlink ref="B137" r:id="rId70"/>
    <hyperlink ref="B136" r:id="rId71"/>
    <hyperlink ref="B160" r:id="rId72"/>
    <hyperlink ref="B80" r:id="rId73"/>
    <hyperlink ref="B40" r:id="rId74"/>
    <hyperlink ref="B159" r:id="rId75"/>
    <hyperlink ref="B158" r:id="rId76"/>
    <hyperlink ref="B413" r:id="rId77"/>
    <hyperlink ref="B412" r:id="rId78"/>
    <hyperlink ref="B411" r:id="rId79"/>
    <hyperlink ref="B374" r:id="rId80"/>
    <hyperlink ref="B424" r:id="rId81"/>
    <hyperlink ref="B492" r:id="rId82"/>
    <hyperlink ref="B425" r:id="rId83"/>
    <hyperlink ref="B450" r:id="rId84"/>
    <hyperlink ref="B484" r:id="rId85"/>
    <hyperlink ref="B384" r:id="rId86"/>
    <hyperlink ref="B390" r:id="rId87"/>
    <hyperlink ref="B495" r:id="rId88"/>
    <hyperlink ref="B482" r:id="rId89"/>
    <hyperlink ref="B439" r:id="rId90"/>
    <hyperlink ref="B456" r:id="rId91" display="SULA11"/>
    <hyperlink ref="B391" r:id="rId92"/>
    <hyperlink ref="B504" r:id="rId93"/>
    <hyperlink ref="B508" r:id="rId94"/>
    <hyperlink ref="B507" r:id="rId95"/>
    <hyperlink ref="B498" r:id="rId96"/>
    <hyperlink ref="B2" r:id="rId97"/>
    <hyperlink ref="B3" r:id="rId98"/>
    <hyperlink ref="B37" r:id="rId99"/>
    <hyperlink ref="B38" r:id="rId100"/>
    <hyperlink ref="B35" r:id="rId101"/>
    <hyperlink ref="B44" r:id="rId102"/>
    <hyperlink ref="B45" r:id="rId103"/>
    <hyperlink ref="B47" r:id="rId104"/>
    <hyperlink ref="B48" r:id="rId105"/>
    <hyperlink ref="B49" r:id="rId106"/>
    <hyperlink ref="B50" r:id="rId107"/>
    <hyperlink ref="B95:B98" r:id="rId108" display="ENGI11"/>
    <hyperlink ref="B109:B110" r:id="rId109" display="GETI3"/>
    <hyperlink ref="B9" r:id="rId110"/>
    <hyperlink ref="B102" r:id="rId111"/>
    <hyperlink ref="B96:B98" r:id="rId112" display="CSRN3"/>
    <hyperlink ref="B140" r:id="rId113"/>
    <hyperlink ref="B141" r:id="rId114"/>
    <hyperlink ref="B253" r:id="rId115"/>
    <hyperlink ref="B61:B63" r:id="rId116" display="CEEB3"/>
    <hyperlink ref="B68:B70" r:id="rId117" display="CEPE3"/>
    <hyperlink ref="B165:B170" r:id="rId118" display="ENMA3B"/>
    <hyperlink ref="B149" r:id="rId119"/>
    <hyperlink ref="B183:B184" r:id="rId120" display="GEPA3"/>
    <hyperlink ref="B312" r:id="rId121"/>
    <hyperlink ref="B216" r:id="rId122"/>
    <hyperlink ref="B223" r:id="rId123"/>
    <hyperlink ref="B465" r:id="rId124"/>
    <hyperlink ref="B207:B208" r:id="rId125" display="TRPL3"/>
    <hyperlink ref="B462" r:id="rId126"/>
    <hyperlink ref="B401" r:id="rId127"/>
    <hyperlink ref="B402" r:id="rId128" display="EKTR3"/>
    <hyperlink ref="B100" r:id="rId129"/>
    <hyperlink ref="B101" r:id="rId130" display="CASN3"/>
    <hyperlink ref="B161" r:id="rId131"/>
    <hyperlink ref="B422" r:id="rId132"/>
    <hyperlink ref="B423" r:id="rId133" display="SAPR3"/>
    <hyperlink ref="B131" r:id="rId134"/>
    <hyperlink ref="B132" r:id="rId135" display="CGAS3"/>
    <hyperlink ref="B120" r:id="rId136"/>
    <hyperlink ref="B284" r:id="rId137"/>
    <hyperlink ref="B196" r:id="rId138" display="EBTP4"/>
    <hyperlink ref="B333" r:id="rId139"/>
    <hyperlink ref="B334" r:id="rId140" display="MLFT3"/>
    <hyperlink ref="B306" r:id="rId141"/>
    <hyperlink ref="B307" r:id="rId142" display="LFFE3"/>
    <hyperlink ref="B181" r:id="rId143"/>
    <hyperlink ref="B180" r:id="rId144" display="DAYC4"/>
    <hyperlink ref="B272" r:id="rId145"/>
    <hyperlink ref="B273" r:id="rId146" display="IDVL3"/>
    <hyperlink ref="B53" r:id="rId147"/>
    <hyperlink ref="B54" r:id="rId148" display="BMEB3"/>
    <hyperlink ref="B65" r:id="rId149"/>
    <hyperlink ref="B66" r:id="rId150" display="BPMN3"/>
    <hyperlink ref="B419" r:id="rId151"/>
    <hyperlink ref="B420" r:id="rId152" display="SANB11"/>
    <hyperlink ref="B421" r:id="rId153" display="SANB11"/>
    <hyperlink ref="B427" r:id="rId154"/>
    <hyperlink ref="B426" r:id="rId155" display="SFSA4"/>
    <hyperlink ref="B288" r:id="rId156"/>
    <hyperlink ref="B289" r:id="rId157" display="ITUB3"/>
    <hyperlink ref="B383" r:id="rId158"/>
    <hyperlink ref="B382" r:id="rId159" display="PRBC4"/>
    <hyperlink ref="B286" r:id="rId160"/>
    <hyperlink ref="B287" r:id="rId161" display="ITSA3"/>
    <hyperlink ref="B271" r:id="rId162"/>
    <hyperlink ref="B311" r:id="rId163"/>
    <hyperlink ref="B470" r:id="rId164"/>
    <hyperlink ref="B471" r:id="rId165" display="TELB3"/>
    <hyperlink ref="B440" r:id="rId166"/>
    <hyperlink ref="B485" r:id="rId167"/>
    <hyperlink ref="B46" r:id="rId168"/>
    <hyperlink ref="B285" r:id="rId169"/>
    <hyperlink ref="B381" r:id="rId170"/>
    <hyperlink ref="B359" r:id="rId171"/>
    <hyperlink ref="B370" r:id="rId172"/>
    <hyperlink ref="B371" r:id="rId173" display="PETR3"/>
    <hyperlink ref="B414" r:id="rId174"/>
    <hyperlink ref="B415" r:id="rId175"/>
    <hyperlink ref="B362" r:id="rId176"/>
    <hyperlink ref="B233" r:id="rId177"/>
    <hyperlink ref="B234" r:id="rId178" display="FESA3"/>
    <hyperlink ref="B162" r:id="rId179"/>
    <hyperlink ref="B499" r:id="rId180"/>
    <hyperlink ref="B500" r:id="rId181" display="USIM3"/>
    <hyperlink ref="B501" r:id="rId182" display="USIM3"/>
    <hyperlink ref="B247" r:id="rId183"/>
    <hyperlink ref="B248" r:id="rId184" display="GGBR3"/>
    <hyperlink ref="B249" r:id="rId185"/>
    <hyperlink ref="B250" r:id="rId186"/>
    <hyperlink ref="B231" r:id="rId187"/>
    <hyperlink ref="B232" r:id="rId188" display="FBMC3"/>
    <hyperlink ref="B329" r:id="rId189"/>
    <hyperlink ref="B330" r:id="rId190" display="MGEL3"/>
    <hyperlink ref="B192" r:id="rId191"/>
    <hyperlink ref="B193" r:id="rId192"/>
    <hyperlink ref="B483" r:id="rId193" display="TKNO4"/>
    <hyperlink ref="B376" r:id="rId194"/>
    <hyperlink ref="B479" r:id="rId195"/>
    <hyperlink ref="B480" r:id="rId196" display="TIBR3"/>
    <hyperlink ref="B481" r:id="rId197" display="TIBR3"/>
    <hyperlink ref="B205" r:id="rId198"/>
    <hyperlink ref="B206" r:id="rId199" display="ELEK3"/>
    <hyperlink ref="B254" r:id="rId200"/>
    <hyperlink ref="B405" r:id="rId201"/>
    <hyperlink ref="B235" r:id="rId202"/>
    <hyperlink ref="B357" r:id="rId203"/>
    <hyperlink ref="B109" r:id="rId204"/>
    <hyperlink ref="B503" r:id="rId205" display="VALE5"/>
    <hyperlink ref="B335" r:id="rId206"/>
    <hyperlink ref="B441" r:id="rId207"/>
    <hyperlink ref="B442" r:id="rId208" display="SNSY3"/>
    <hyperlink ref="B443" r:id="rId209" display="SNSY3"/>
    <hyperlink ref="B394" r:id="rId210"/>
    <hyperlink ref="B395" r:id="rId211" display="RANI3"/>
    <hyperlink ref="B341" r:id="rId212"/>
    <hyperlink ref="B342" r:id="rId213" display="MSPA3"/>
    <hyperlink ref="B236" r:id="rId214"/>
    <hyperlink ref="B299" r:id="rId215"/>
    <hyperlink ref="B300" r:id="rId216" display="KLBN11"/>
    <hyperlink ref="B301" r:id="rId217" display="KLBN11"/>
    <hyperlink ref="B459" r:id="rId218"/>
    <hyperlink ref="B460" r:id="rId219" display="SUZB3"/>
    <hyperlink ref="B461" r:id="rId220" display="SUZB3"/>
    <hyperlink ref="B227" r:id="rId221" display="EUCA4"/>
    <hyperlink ref="B389" r:id="rId222" display="PTPA4"/>
    <hyperlink ref="B343" r:id="rId223"/>
    <hyperlink ref="B344" r:id="rId224" display="MTIG3"/>
    <hyperlink ref="B368" r:id="rId225"/>
    <hyperlink ref="B369" r:id="rId226" display="PEAB3"/>
    <hyperlink ref="B385" r:id="rId227"/>
    <hyperlink ref="B455" r:id="rId228" display="SULA11"/>
    <hyperlink ref="B454" r:id="rId229"/>
    <hyperlink ref="B92" r:id="rId230"/>
    <hyperlink ref="B93" r:id="rId231" display="BTTL3"/>
    <hyperlink ref="B265" r:id="rId232"/>
    <hyperlink ref="B264" r:id="rId233" display="HBTS5"/>
    <hyperlink ref="B185" r:id="rId234"/>
    <hyperlink ref="B186" r:id="rId235" display="DOCA3"/>
    <hyperlink ref="B290" r:id="rId236"/>
    <hyperlink ref="B291" r:id="rId237" display="JBDU3"/>
    <hyperlink ref="B13" r:id="rId238"/>
    <hyperlink ref="B147" r:id="rId239"/>
    <hyperlink ref="B148" r:id="rId240" display="CORR3"/>
    <hyperlink ref="B256" r:id="rId241"/>
    <hyperlink ref="B348" r:id="rId242" display="MULT3"/>
    <hyperlink ref="B472" r:id="rId243"/>
    <hyperlink ref="B179" r:id="rId244"/>
    <hyperlink ref="B239" r:id="rId245"/>
    <hyperlink ref="B358" r:id="rId246"/>
    <hyperlink ref="B392" r:id="rId247"/>
    <hyperlink ref="B154" r:id="rId248"/>
    <hyperlink ref="B51" r:id="rId249"/>
    <hyperlink ref="B354" r:id="rId250"/>
    <hyperlink ref="B62" r:id="rId251"/>
    <hyperlink ref="B63" r:id="rId252" display="BOBR3"/>
    <hyperlink ref="B157" r:id="rId253"/>
    <hyperlink ref="B302" r:id="rId254"/>
    <hyperlink ref="B303" r:id="rId255" display="LAME3"/>
    <hyperlink ref="B91" r:id="rId256"/>
    <hyperlink ref="B270" r:id="rId257"/>
    <hyperlink ref="B393" r:id="rId258"/>
    <hyperlink ref="B64" r:id="rId259"/>
    <hyperlink ref="B377" r:id="rId260"/>
    <hyperlink ref="B378" r:id="rId261" display="PNVL3"/>
    <hyperlink ref="B372" r:id="rId262" display="PFMR3"/>
    <hyperlink ref="B365" r:id="rId263"/>
    <hyperlink ref="B366" r:id="rId264" display="PCAR3"/>
    <hyperlink ref="B4" r:id="rId265"/>
    <hyperlink ref="B505" r:id="rId266"/>
    <hyperlink ref="B138" r:id="rId267"/>
    <hyperlink ref="B139" r:id="rId268" display="CLAN3"/>
    <hyperlink ref="B337" r:id="rId269"/>
    <hyperlink ref="B33" r:id="rId270"/>
    <hyperlink ref="B34" r:id="rId271" display="BAUH3"/>
    <hyperlink ref="B43" r:id="rId272"/>
    <hyperlink ref="B339" r:id="rId273"/>
    <hyperlink ref="B276" r:id="rId274"/>
    <hyperlink ref="B277" r:id="rId275" display="IGUA3"/>
    <hyperlink ref="B278" r:id="rId276" display="IGUA3"/>
    <hyperlink ref="B477" r:id="rId277"/>
    <hyperlink ref="B295" r:id="rId278"/>
    <hyperlink ref="B296" r:id="rId279" display="JOPA3"/>
    <hyperlink ref="B323" r:id="rId280"/>
    <hyperlink ref="B88" r:id="rId281"/>
    <hyperlink ref="B502" r:id="rId282"/>
    <hyperlink ref="B406" r:id="rId283"/>
    <hyperlink ref="B436" r:id="rId284"/>
    <hyperlink ref="B177" r:id="rId285"/>
    <hyperlink ref="B14" r:id="rId286"/>
    <hyperlink ref="B15" r:id="rId287" display="AHEB3"/>
    <hyperlink ref="B16" r:id="rId288" display="AHEB3"/>
    <hyperlink ref="B433" r:id="rId289"/>
    <hyperlink ref="B57" r:id="rId290"/>
    <hyperlink ref="B494" r:id="rId291"/>
    <hyperlink ref="B517" r:id="rId292"/>
    <hyperlink ref="B518" r:id="rId293" display="WHRL3"/>
    <hyperlink ref="B58" r:id="rId294"/>
    <hyperlink ref="B59" r:id="rId295" display="BMTO3"/>
    <hyperlink ref="B331" r:id="rId296"/>
    <hyperlink ref="B513" r:id="rId297"/>
    <hyperlink ref="B514" r:id="rId298" display="VVAR11"/>
    <hyperlink ref="B515" r:id="rId299" display="VVAR11"/>
    <hyperlink ref="B274" r:id="rId300"/>
    <hyperlink ref="B269" r:id="rId301"/>
    <hyperlink ref="B113" r:id="rId302"/>
    <hyperlink ref="B114" r:id="rId303" display="CEDO3"/>
    <hyperlink ref="B486" r:id="rId304"/>
    <hyperlink ref="B487" r:id="rId305" display="TOYB3"/>
    <hyperlink ref="B224" r:id="rId306"/>
    <hyperlink ref="B225" r:id="rId307" display="ESTR3"/>
    <hyperlink ref="B352" r:id="rId308"/>
    <hyperlink ref="B353" r:id="rId309" display="NAFG3"/>
    <hyperlink ref="B267" r:id="rId310"/>
    <hyperlink ref="B268" r:id="rId311" display="HETA3"/>
    <hyperlink ref="B172" r:id="rId312"/>
    <hyperlink ref="B173" r:id="rId313" display="CTNM3"/>
    <hyperlink ref="B174" r:id="rId314"/>
    <hyperlink ref="B175" r:id="rId315" display="CTSA3"/>
    <hyperlink ref="B176" r:id="rId316" display="CTSA3"/>
    <hyperlink ref="B187" r:id="rId317"/>
    <hyperlink ref="B188" r:id="rId318" display="DOHL3"/>
    <hyperlink ref="B199" r:id="rId319"/>
    <hyperlink ref="B200" r:id="rId320" display="ECPR3"/>
    <hyperlink ref="B170" r:id="rId321"/>
    <hyperlink ref="B171" r:id="rId322" display="CTKA3"/>
    <hyperlink ref="B387" r:id="rId323"/>
    <hyperlink ref="B388" r:id="rId324" display="PTNT3"/>
    <hyperlink ref="B519" r:id="rId325"/>
    <hyperlink ref="B432" r:id="rId326"/>
    <hyperlink ref="B473" r:id="rId327"/>
    <hyperlink ref="B474" r:id="rId328" display="TENE3"/>
    <hyperlink ref="B475" r:id="rId329" display="TENE3"/>
    <hyperlink ref="B476" r:id="rId330" display="TENE3"/>
    <hyperlink ref="B18" r:id="rId331"/>
    <hyperlink ref="B19" r:id="rId332" display="ALPA3"/>
    <hyperlink ref="B97" r:id="rId333"/>
    <hyperlink ref="B98" r:id="rId334" display="CAMB3"/>
    <hyperlink ref="B255" r:id="rId335"/>
    <hyperlink ref="B512" r:id="rId336"/>
    <hyperlink ref="B336" r:id="rId337"/>
    <hyperlink ref="B469" r:id="rId338"/>
    <hyperlink ref="B355" r:id="rId339"/>
    <hyperlink ref="B356" r:id="rId340" display="NETC3"/>
    <hyperlink ref="B5" r:id="rId341"/>
    <hyperlink ref="B6" r:id="rId342" display="ABRE11"/>
    <hyperlink ref="B7" r:id="rId343" display="ABRE11"/>
    <hyperlink ref="B437" r:id="rId344"/>
    <hyperlink ref="B438" r:id="rId345" display="SLED3"/>
    <hyperlink ref="B281" r:id="rId346"/>
    <hyperlink ref="B404" r:id="rId347"/>
    <hyperlink ref="B315" r:id="rId348"/>
    <hyperlink ref="B26" r:id="rId349"/>
    <hyperlink ref="B133" r:id="rId350"/>
    <hyperlink ref="B134" r:id="rId351" display="CGRA3"/>
    <hyperlink ref="B259" r:id="rId352"/>
    <hyperlink ref="B260" r:id="rId353" display="GUAR3"/>
    <hyperlink ref="B308" r:id="rId354"/>
    <hyperlink ref="B309" r:id="rId355" display="LHER3"/>
    <hyperlink ref="B319" r:id="rId356"/>
    <hyperlink ref="B24" r:id="rId357"/>
    <hyperlink ref="B447" r:id="rId358"/>
    <hyperlink ref="B448" r:id="rId359" display="SPRI3"/>
    <hyperlink ref="B449" r:id="rId360" display="SPRI3"/>
    <hyperlink ref="B52" r:id="rId361"/>
    <hyperlink ref="B95" r:id="rId362"/>
    <hyperlink ref="B96" r:id="rId363" display="CALI3"/>
    <hyperlink ref="B153" r:id="rId364"/>
    <hyperlink ref="B178" r:id="rId365"/>
    <hyperlink ref="B184" r:id="rId366"/>
    <hyperlink ref="B229" r:id="rId367"/>
    <hyperlink ref="B230" r:id="rId368"/>
    <hyperlink ref="B246" r:id="rId369"/>
    <hyperlink ref="B263" r:id="rId370"/>
    <hyperlink ref="B294" r:id="rId371"/>
    <hyperlink ref="B293" r:id="rId372"/>
    <hyperlink ref="B340" r:id="rId373"/>
    <hyperlink ref="B367" r:id="rId374"/>
    <hyperlink ref="B400" r:id="rId375"/>
    <hyperlink ref="B416" r:id="rId376"/>
    <hyperlink ref="B430" r:id="rId377"/>
    <hyperlink ref="B431" r:id="rId378" display="SGEN3"/>
    <hyperlink ref="B468" r:id="rId379"/>
    <hyperlink ref="B489" r:id="rId380"/>
    <hyperlink ref="B506" r:id="rId381"/>
    <hyperlink ref="B28" r:id="rId382"/>
    <hyperlink ref="B29" r:id="rId383" display="AZEV3"/>
    <hyperlink ref="B313" r:id="rId384"/>
    <hyperlink ref="B314" r:id="rId385" display="LIXC3"/>
    <hyperlink ref="B457" r:id="rId386"/>
    <hyperlink ref="B458" r:id="rId387" display="SULT3"/>
    <hyperlink ref="B324" r:id="rId388"/>
    <hyperlink ref="B325" r:id="rId389" display="MEND3"/>
    <hyperlink ref="B326" r:id="rId390" display="MEND3"/>
    <hyperlink ref="B444" r:id="rId391"/>
    <hyperlink ref="B445" r:id="rId392" display="SOND3"/>
    <hyperlink ref="B446" r:id="rId393" display="SOND3"/>
    <hyperlink ref="B466" r:id="rId394"/>
    <hyperlink ref="B467" r:id="rId395" display="TCNO3"/>
    <hyperlink ref="B39" r:id="rId396"/>
    <hyperlink ref="B318" r:id="rId397"/>
    <hyperlink ref="B166" r:id="rId398"/>
    <hyperlink ref="B167" r:id="rId399" display="CTAX11"/>
    <hyperlink ref="B168" r:id="rId400" display="CTAX11"/>
    <hyperlink ref="B99" r:id="rId401"/>
    <hyperlink ref="B189" r:id="rId402"/>
    <hyperlink ref="B190" r:id="rId403" display="DTCY3"/>
    <hyperlink ref="B332" r:id="rId404"/>
    <hyperlink ref="B509" r:id="rId405"/>
    <hyperlink ref="B25" r:id="rId406"/>
    <hyperlink ref="B108" r:id="rId407"/>
    <hyperlink ref="B488" r:id="rId408"/>
    <hyperlink ref="B198" r:id="rId409"/>
    <hyperlink ref="B279" r:id="rId410"/>
    <hyperlink ref="B280" r:id="rId411" display="IMBI3"/>
    <hyperlink ref="B316" r:id="rId412"/>
    <hyperlink ref="B451" r:id="rId413"/>
    <hyperlink ref="B452" r:id="rId414" display="STBP11"/>
    <hyperlink ref="B453" r:id="rId415" display="STBP11"/>
    <hyperlink ref="B251" r:id="rId416"/>
    <hyperlink ref="B252" r:id="rId417" display="GOLL3"/>
    <hyperlink ref="B17" r:id="rId418"/>
    <hyperlink ref="B510" r:id="rId419"/>
    <hyperlink ref="B511" r:id="rId420" display="VSPT3"/>
    <hyperlink ref="B317" r:id="rId421"/>
    <hyperlink ref="B320" r:id="rId422"/>
    <hyperlink ref="B321" r:id="rId423" display="LUXM3"/>
    <hyperlink ref="B297" r:id="rId424"/>
    <hyperlink ref="B478" r:id="rId425"/>
    <hyperlink ref="B428" r:id="rId426"/>
    <hyperlink ref="B429" r:id="rId427" display="SGAS3"/>
    <hyperlink ref="B241" r:id="rId428"/>
    <hyperlink ref="B237" r:id="rId429"/>
    <hyperlink ref="B238" r:id="rId430" display="FJTA3"/>
    <hyperlink ref="B194" r:id="rId431"/>
    <hyperlink ref="B195" r:id="rId432" display="EALT3"/>
    <hyperlink ref="B345" r:id="rId433"/>
    <hyperlink ref="B346" r:id="rId434" display="MTSA3"/>
    <hyperlink ref="B32" r:id="rId435" display="BALM3"/>
    <hyperlink ref="B31" r:id="rId436"/>
    <hyperlink ref="B386" r:id="rId437"/>
    <hyperlink ref="B262" r:id="rId438" display="HAGA3"/>
    <hyperlink ref="B261" r:id="rId439"/>
    <hyperlink ref="B106" r:id="rId440" display="CCHI3"/>
    <hyperlink ref="B105" r:id="rId441"/>
    <hyperlink ref="B226" r:id="rId442"/>
    <hyperlink ref="B41" r:id="rId443"/>
    <hyperlink ref="B42" r:id="rId444" display="BDLL3"/>
    <hyperlink ref="B410" r:id="rId445"/>
    <hyperlink ref="B282" r:id="rId446"/>
    <hyperlink ref="B283" r:id="rId447" display="INEP3"/>
    <hyperlink ref="B298" r:id="rId448"/>
    <hyperlink ref="B434" r:id="rId449"/>
    <hyperlink ref="B435" r:id="rId450" display="SHUL3"/>
    <hyperlink ref="B516" r:id="rId451"/>
    <hyperlink ref="B214" r:id="rId452"/>
    <hyperlink ref="B103" r:id="rId453"/>
    <hyperlink ref="B104" r:id="rId454" display="CBMA3"/>
    <hyperlink ref="B27" r:id="rId455"/>
    <hyperlink ref="B182" r:id="rId456"/>
    <hyperlink ref="B183" r:id="rId457" display="DHBI3"/>
    <hyperlink ref="B351" r:id="rId458"/>
    <hyperlink ref="B240" r:id="rId459"/>
    <hyperlink ref="B305" r:id="rId460"/>
    <hyperlink ref="B379" r:id="rId461"/>
    <hyperlink ref="B380" r:id="rId462" display="POMO3"/>
    <hyperlink ref="B417" r:id="rId463"/>
    <hyperlink ref="B418" r:id="rId464" display="RSUL3"/>
    <hyperlink ref="B375" r:id="rId465"/>
    <hyperlink ref="B396" r:id="rId466"/>
    <hyperlink ref="B397" r:id="rId467" display="RAPT3"/>
    <hyperlink ref="B398" r:id="rId468"/>
    <hyperlink ref="B399" r:id="rId469" display="RCSL3"/>
    <hyperlink ref="B493" r:id="rId470"/>
    <hyperlink ref="B349" r:id="rId471"/>
    <hyperlink ref="B350" r:id="rId472" display="MWET3"/>
    <hyperlink ref="B244" r:id="rId473"/>
    <hyperlink ref="B245" r:id="rId474" display="GETI3"/>
    <hyperlink ref="B163" r:id="rId475"/>
    <hyperlink ref="B164" r:id="rId476" display="CSRN3"/>
    <hyperlink ref="B165" r:id="rId477" display="CSRN3"/>
    <hyperlink ref="B203" r:id="rId478"/>
    <hyperlink ref="B204" r:id="rId479" display="EKTR3"/>
    <hyperlink ref="B115" r:id="rId480"/>
    <hyperlink ref="B116" r:id="rId481" display="CEEB3"/>
    <hyperlink ref="B117" r:id="rId482" display="CEEB3"/>
    <hyperlink ref="B10" r:id="rId483"/>
    <hyperlink ref="B11" r:id="rId484" display="AFLU3"/>
    <hyperlink ref="B12" r:id="rId485" display="AFLU3"/>
    <hyperlink ref="B121" r:id="rId486"/>
    <hyperlink ref="B122" r:id="rId487" display="CELP3"/>
    <hyperlink ref="B123" r:id="rId488" display="CELP3"/>
    <hyperlink ref="B124" r:id="rId489" display="CELP3"/>
    <hyperlink ref="B90" r:id="rId490" display="BSLI3"/>
  </hyperlinks>
  <pageMargins left="0.7" right="0.7" top="0.75" bottom="0.75" header="0.3" footer="0.3"/>
  <pageSetup paperSize="9" orientation="portrait" r:id="rId491"/>
  <tableParts count="1">
    <tablePart r:id="rId49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1493</v>
      </c>
      <c r="E7" s="3" t="s">
        <v>1557</v>
      </c>
      <c r="F7" s="3" t="s">
        <v>1558</v>
      </c>
      <c r="G7" s="3" t="s">
        <v>742</v>
      </c>
      <c r="H7" s="20">
        <v>41705</v>
      </c>
      <c r="J7" s="3">
        <f>IF($A7="",0,VALUE(CONCATENATE(LEFT(D7,LEN(D7)-3),",",RIGHT(D7,2))))</f>
        <v>11.61</v>
      </c>
      <c r="K7" s="3">
        <f t="shared" ref="K7:M22" si="0">IF($A7="",0,VALUE(CONCATENATE(LEFT(E7,LEN(E7)-3),",",RIGHT(E7,2))))</f>
        <v>11.54</v>
      </c>
      <c r="L7" s="3">
        <f t="shared" si="0"/>
        <v>11.73</v>
      </c>
      <c r="M7" s="3">
        <f t="shared" si="0"/>
        <v>11.5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41705</v>
      </c>
      <c r="S7" s="5">
        <f t="shared" ref="S7:S38" si="3">J7</f>
        <v>11.61</v>
      </c>
      <c r="T7" s="5">
        <f t="shared" ref="T7:T38" si="4">K7</f>
        <v>11.54</v>
      </c>
      <c r="U7" s="5">
        <f t="shared" ref="U7:U38" si="5">L7</f>
        <v>11.73</v>
      </c>
      <c r="V7" s="5">
        <f t="shared" ref="V7:V38" si="6">M7</f>
        <v>11.5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1543</v>
      </c>
      <c r="E8" s="3" t="s">
        <v>267</v>
      </c>
      <c r="F8" s="3" t="s">
        <v>267</v>
      </c>
      <c r="G8" s="3" t="s">
        <v>1543</v>
      </c>
      <c r="H8" s="20">
        <v>41705</v>
      </c>
      <c r="J8" s="3">
        <f t="shared" ref="J8:M71" si="7">IF($A8="",0,VALUE(CONCATENATE(LEFT(D8,LEN(D8)-3),",",RIGHT(D8,2))))</f>
        <v>6.96</v>
      </c>
      <c r="K8" s="3">
        <f t="shared" si="0"/>
        <v>7.08</v>
      </c>
      <c r="L8" s="3">
        <f t="shared" si="0"/>
        <v>7.08</v>
      </c>
      <c r="M8" s="3">
        <f t="shared" si="0"/>
        <v>6.96</v>
      </c>
      <c r="P8" s="14" t="s">
        <v>67</v>
      </c>
      <c r="Q8" s="10" t="str">
        <f t="shared" si="1"/>
        <v>AES ELPA    -ON</v>
      </c>
      <c r="R8" s="20">
        <f t="shared" si="2"/>
        <v>41705</v>
      </c>
      <c r="S8" s="5">
        <f t="shared" si="3"/>
        <v>6.96</v>
      </c>
      <c r="T8" s="5">
        <f t="shared" si="4"/>
        <v>7.08</v>
      </c>
      <c r="U8" s="5">
        <f t="shared" si="5"/>
        <v>7.08</v>
      </c>
      <c r="V8" s="5">
        <f t="shared" si="6"/>
        <v>6.96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1360</v>
      </c>
      <c r="E9" s="3" t="s">
        <v>1360</v>
      </c>
      <c r="F9" s="3" t="s">
        <v>1360</v>
      </c>
      <c r="G9" s="3" t="s">
        <v>1360</v>
      </c>
      <c r="H9" s="20">
        <v>41705</v>
      </c>
      <c r="J9" s="3">
        <f t="shared" si="7"/>
        <v>0.31</v>
      </c>
      <c r="K9" s="3">
        <f t="shared" si="0"/>
        <v>0.31</v>
      </c>
      <c r="L9" s="3">
        <f t="shared" si="0"/>
        <v>0.31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41705</v>
      </c>
      <c r="S9" s="5">
        <f t="shared" si="3"/>
        <v>0.31</v>
      </c>
      <c r="T9" s="5">
        <f t="shared" si="4"/>
        <v>0.31</v>
      </c>
      <c r="U9" s="5">
        <f t="shared" si="5"/>
        <v>0.31</v>
      </c>
      <c r="V9" s="5">
        <f t="shared" si="6"/>
        <v>0.31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1559</v>
      </c>
      <c r="E10" s="3" t="s">
        <v>1560</v>
      </c>
      <c r="F10" s="3" t="s">
        <v>1561</v>
      </c>
      <c r="G10" s="3" t="s">
        <v>1562</v>
      </c>
      <c r="H10" s="20">
        <v>41705</v>
      </c>
      <c r="J10" s="3">
        <f t="shared" si="7"/>
        <v>20.190000000000001</v>
      </c>
      <c r="K10" s="3">
        <f t="shared" si="0"/>
        <v>19.93</v>
      </c>
      <c r="L10" s="3">
        <f t="shared" si="0"/>
        <v>20.38</v>
      </c>
      <c r="M10" s="3">
        <f t="shared" si="0"/>
        <v>19.88</v>
      </c>
      <c r="P10" s="15" t="s">
        <v>24</v>
      </c>
      <c r="Q10" s="10" t="str">
        <f t="shared" si="1"/>
        <v xml:space="preserve">BRASIL      -ON  </v>
      </c>
      <c r="R10" s="20">
        <f t="shared" si="2"/>
        <v>41705</v>
      </c>
      <c r="S10" s="5">
        <f t="shared" si="3"/>
        <v>20.190000000000001</v>
      </c>
      <c r="T10" s="5">
        <f t="shared" si="4"/>
        <v>19.93</v>
      </c>
      <c r="U10" s="5">
        <f t="shared" si="5"/>
        <v>20.38</v>
      </c>
      <c r="V10" s="5">
        <f t="shared" si="6"/>
        <v>19.88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195</v>
      </c>
      <c r="D11" s="3" t="s">
        <v>1563</v>
      </c>
      <c r="E11" s="3" t="s">
        <v>1564</v>
      </c>
      <c r="F11" s="3" t="s">
        <v>1565</v>
      </c>
      <c r="G11" s="3" t="s">
        <v>1566</v>
      </c>
      <c r="H11" s="20">
        <v>41705</v>
      </c>
      <c r="J11" s="3">
        <f t="shared" si="7"/>
        <v>29.36</v>
      </c>
      <c r="K11" s="3">
        <f t="shared" si="0"/>
        <v>29.19</v>
      </c>
      <c r="L11" s="3">
        <f t="shared" si="0"/>
        <v>29.79</v>
      </c>
      <c r="M11" s="3">
        <f t="shared" si="0"/>
        <v>29.15</v>
      </c>
      <c r="P11" s="14" t="s">
        <v>193</v>
      </c>
      <c r="Q11" s="10" t="str">
        <f t="shared" si="1"/>
        <v xml:space="preserve">BRADESCO    -ON  </v>
      </c>
      <c r="R11" s="20">
        <f t="shared" si="2"/>
        <v>41705</v>
      </c>
      <c r="S11" s="5">
        <f t="shared" si="3"/>
        <v>29.36</v>
      </c>
      <c r="T11" s="5">
        <f t="shared" si="4"/>
        <v>29.19</v>
      </c>
      <c r="U11" s="5">
        <f t="shared" si="5"/>
        <v>29.79</v>
      </c>
      <c r="V11" s="5">
        <f t="shared" si="6"/>
        <v>29.15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196</v>
      </c>
      <c r="D12" s="3" t="s">
        <v>1567</v>
      </c>
      <c r="E12" s="3" t="s">
        <v>1568</v>
      </c>
      <c r="F12" s="3" t="s">
        <v>1569</v>
      </c>
      <c r="G12" s="3" t="s">
        <v>1570</v>
      </c>
      <c r="H12" s="20">
        <v>41705</v>
      </c>
      <c r="J12" s="3">
        <f t="shared" si="7"/>
        <v>27.85</v>
      </c>
      <c r="K12" s="3">
        <f t="shared" si="0"/>
        <v>27.71</v>
      </c>
      <c r="L12" s="3">
        <f t="shared" si="0"/>
        <v>28.13</v>
      </c>
      <c r="M12" s="3">
        <f t="shared" si="0"/>
        <v>27.66</v>
      </c>
      <c r="P12" s="14" t="s">
        <v>194</v>
      </c>
      <c r="Q12" s="10" t="str">
        <f t="shared" si="1"/>
        <v xml:space="preserve">BRADESCO    -PN  </v>
      </c>
      <c r="R12" s="51">
        <f t="shared" si="2"/>
        <v>41705</v>
      </c>
      <c r="S12" s="5">
        <f t="shared" si="3"/>
        <v>27.85</v>
      </c>
      <c r="T12" s="5">
        <f t="shared" si="4"/>
        <v>27.71</v>
      </c>
      <c r="U12" s="5">
        <f t="shared" si="5"/>
        <v>28.13</v>
      </c>
      <c r="V12" s="5">
        <f t="shared" si="6"/>
        <v>27.66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1401</v>
      </c>
      <c r="D13" s="3" t="s">
        <v>1249</v>
      </c>
      <c r="E13" s="3" t="s">
        <v>1249</v>
      </c>
      <c r="F13" s="3" t="s">
        <v>1249</v>
      </c>
      <c r="G13" s="3" t="s">
        <v>1249</v>
      </c>
      <c r="H13" s="20">
        <v>41705</v>
      </c>
      <c r="J13" s="3">
        <f t="shared" si="7"/>
        <v>0.44</v>
      </c>
      <c r="K13" s="3">
        <f t="shared" si="0"/>
        <v>0.44</v>
      </c>
      <c r="L13" s="3">
        <f t="shared" si="0"/>
        <v>0.44</v>
      </c>
      <c r="M13" s="3">
        <f t="shared" si="0"/>
        <v>0.44</v>
      </c>
      <c r="P13" s="15" t="s">
        <v>58</v>
      </c>
      <c r="Q13" s="10" t="str">
        <f t="shared" si="1"/>
        <v xml:space="preserve">BANESTES    -ON  </v>
      </c>
      <c r="R13" s="51">
        <f t="shared" si="2"/>
        <v>41705</v>
      </c>
      <c r="S13" s="5">
        <f t="shared" si="3"/>
        <v>0.44</v>
      </c>
      <c r="T13" s="5">
        <f t="shared" si="4"/>
        <v>0.44</v>
      </c>
      <c r="U13" s="5">
        <f t="shared" si="5"/>
        <v>0.44</v>
      </c>
      <c r="V13" s="5">
        <f t="shared" si="6"/>
        <v>0.44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1402</v>
      </c>
      <c r="D14" s="3" t="s">
        <v>1364</v>
      </c>
      <c r="E14" s="3" t="s">
        <v>1364</v>
      </c>
      <c r="F14" s="3" t="s">
        <v>1364</v>
      </c>
      <c r="G14" s="3" t="s">
        <v>1364</v>
      </c>
      <c r="H14" s="20">
        <v>41705</v>
      </c>
      <c r="J14" s="3">
        <f t="shared" si="7"/>
        <v>0.42</v>
      </c>
      <c r="K14" s="3">
        <f t="shared" si="0"/>
        <v>0.42</v>
      </c>
      <c r="L14" s="3">
        <f t="shared" si="0"/>
        <v>0.42</v>
      </c>
      <c r="M14" s="3">
        <f t="shared" si="0"/>
        <v>0.42</v>
      </c>
      <c r="P14" s="15" t="s">
        <v>59</v>
      </c>
      <c r="Q14" s="10" t="str">
        <f t="shared" si="1"/>
        <v xml:space="preserve">BANESTES    -PN  </v>
      </c>
      <c r="R14" s="20">
        <f t="shared" si="2"/>
        <v>41705</v>
      </c>
      <c r="S14" s="5">
        <f t="shared" si="3"/>
        <v>0.42</v>
      </c>
      <c r="T14" s="5">
        <f t="shared" si="4"/>
        <v>0.42</v>
      </c>
      <c r="U14" s="5">
        <f t="shared" si="5"/>
        <v>0.42</v>
      </c>
      <c r="V14" s="5">
        <f t="shared" si="6"/>
        <v>0.42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1403</v>
      </c>
      <c r="D15" s="3" t="s">
        <v>426</v>
      </c>
      <c r="E15" s="3" t="s">
        <v>389</v>
      </c>
      <c r="F15" s="3" t="s">
        <v>389</v>
      </c>
      <c r="G15" s="3" t="s">
        <v>389</v>
      </c>
      <c r="H15" s="20">
        <v>41705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197</v>
      </c>
      <c r="Q15" s="10" t="str">
        <f t="shared" si="1"/>
        <v xml:space="preserve">BANESE      -ON  </v>
      </c>
      <c r="R15" s="51">
        <f t="shared" si="2"/>
        <v>41705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1404</v>
      </c>
      <c r="D16" s="3" t="s">
        <v>1359</v>
      </c>
      <c r="E16" s="3" t="s">
        <v>1381</v>
      </c>
      <c r="F16" s="3" t="s">
        <v>1381</v>
      </c>
      <c r="G16" s="3" t="s">
        <v>1359</v>
      </c>
      <c r="H16" s="20">
        <v>41705</v>
      </c>
      <c r="J16" s="3">
        <f t="shared" si="7"/>
        <v>43</v>
      </c>
      <c r="K16" s="3">
        <f t="shared" si="0"/>
        <v>43.59</v>
      </c>
      <c r="L16" s="3">
        <f t="shared" si="0"/>
        <v>43.59</v>
      </c>
      <c r="M16" s="3">
        <f t="shared" si="0"/>
        <v>43</v>
      </c>
      <c r="P16" s="15" t="s">
        <v>198</v>
      </c>
      <c r="Q16" s="10" t="str">
        <f t="shared" si="1"/>
        <v xml:space="preserve">BANESE      -PN  </v>
      </c>
      <c r="R16" s="51">
        <f t="shared" si="2"/>
        <v>41705</v>
      </c>
      <c r="S16" s="5">
        <f t="shared" si="3"/>
        <v>43</v>
      </c>
      <c r="T16" s="5">
        <f t="shared" si="4"/>
        <v>43.59</v>
      </c>
      <c r="U16" s="5">
        <f t="shared" si="5"/>
        <v>43.59</v>
      </c>
      <c r="V16" s="5">
        <f t="shared" si="6"/>
        <v>43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204</v>
      </c>
      <c r="D17" s="3" t="s">
        <v>426</v>
      </c>
      <c r="E17" s="3" t="s">
        <v>746</v>
      </c>
      <c r="F17" s="3" t="s">
        <v>746</v>
      </c>
      <c r="G17" s="3" t="s">
        <v>746</v>
      </c>
      <c r="H17" s="20">
        <v>41705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203</v>
      </c>
      <c r="Q17" s="10" t="str">
        <f t="shared" si="1"/>
        <v xml:space="preserve">BICBANCO    -ON  </v>
      </c>
      <c r="R17" s="51">
        <f t="shared" si="2"/>
        <v>41705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1355</v>
      </c>
      <c r="E18" s="3" t="s">
        <v>1437</v>
      </c>
      <c r="F18" s="3" t="s">
        <v>1355</v>
      </c>
      <c r="G18" s="3" t="s">
        <v>1571</v>
      </c>
      <c r="H18" s="20">
        <v>41705</v>
      </c>
      <c r="J18" s="3">
        <f t="shared" si="7"/>
        <v>7.26</v>
      </c>
      <c r="K18" s="3">
        <f t="shared" si="0"/>
        <v>7.07</v>
      </c>
      <c r="L18" s="3">
        <f t="shared" si="0"/>
        <v>7.26</v>
      </c>
      <c r="M18" s="3">
        <f t="shared" si="0"/>
        <v>7.04</v>
      </c>
      <c r="P18" s="14" t="s">
        <v>10</v>
      </c>
      <c r="Q18" s="10" t="str">
        <f t="shared" si="1"/>
        <v xml:space="preserve">BICBANCO    -PN  </v>
      </c>
      <c r="R18" s="51">
        <f t="shared" si="2"/>
        <v>41705</v>
      </c>
      <c r="S18" s="5">
        <f t="shared" si="3"/>
        <v>7.26</v>
      </c>
      <c r="T18" s="5">
        <f t="shared" si="4"/>
        <v>7.07</v>
      </c>
      <c r="U18" s="5">
        <f t="shared" si="5"/>
        <v>7.26</v>
      </c>
      <c r="V18" s="5">
        <f t="shared" si="6"/>
        <v>7.04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1405</v>
      </c>
      <c r="D19" s="3" t="s">
        <v>426</v>
      </c>
      <c r="E19" s="3" t="s">
        <v>462</v>
      </c>
      <c r="F19" s="3" t="s">
        <v>462</v>
      </c>
      <c r="G19" s="3" t="s">
        <v>462</v>
      </c>
      <c r="H19" s="20">
        <v>41705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205</v>
      </c>
      <c r="Q19" s="10" t="str">
        <f t="shared" si="1"/>
        <v xml:space="preserve">MERC INVEST -ON  </v>
      </c>
      <c r="R19" s="51">
        <f t="shared" si="2"/>
        <v>41705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1406</v>
      </c>
      <c r="D20" s="3" t="s">
        <v>924</v>
      </c>
      <c r="E20" s="3" t="s">
        <v>924</v>
      </c>
      <c r="F20" s="3" t="s">
        <v>924</v>
      </c>
      <c r="G20" s="3" t="s">
        <v>924</v>
      </c>
      <c r="H20" s="20">
        <v>41705</v>
      </c>
      <c r="J20" s="3">
        <f t="shared" si="7"/>
        <v>0.22</v>
      </c>
      <c r="K20" s="3">
        <f t="shared" si="0"/>
        <v>0.22</v>
      </c>
      <c r="L20" s="3">
        <f t="shared" si="0"/>
        <v>0.22</v>
      </c>
      <c r="M20" s="3">
        <f t="shared" si="0"/>
        <v>0.22</v>
      </c>
      <c r="P20" s="14" t="s">
        <v>61</v>
      </c>
      <c r="Q20" s="10" t="str">
        <f t="shared" si="1"/>
        <v xml:space="preserve">MERC INVEST -PN  </v>
      </c>
      <c r="R20" s="20">
        <f t="shared" si="2"/>
        <v>41705</v>
      </c>
      <c r="S20" s="5">
        <f t="shared" si="3"/>
        <v>0.22</v>
      </c>
      <c r="T20" s="5">
        <f t="shared" si="4"/>
        <v>0.22</v>
      </c>
      <c r="U20" s="5">
        <f t="shared" si="5"/>
        <v>0.22</v>
      </c>
      <c r="V20" s="5">
        <f t="shared" si="6"/>
        <v>0.22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208</v>
      </c>
      <c r="D21" s="3" t="s">
        <v>1480</v>
      </c>
      <c r="E21" s="3" t="s">
        <v>1480</v>
      </c>
      <c r="F21" s="3" t="s">
        <v>1480</v>
      </c>
      <c r="G21" s="3" t="s">
        <v>612</v>
      </c>
      <c r="H21" s="20">
        <v>41705</v>
      </c>
      <c r="J21" s="3">
        <f t="shared" si="7"/>
        <v>25.01</v>
      </c>
      <c r="K21" s="3">
        <f t="shared" si="0"/>
        <v>25.01</v>
      </c>
      <c r="L21" s="3">
        <f t="shared" si="0"/>
        <v>25.01</v>
      </c>
      <c r="M21" s="3">
        <f t="shared" si="0"/>
        <v>25</v>
      </c>
      <c r="P21" s="15" t="s">
        <v>206</v>
      </c>
      <c r="Q21" s="10" t="str">
        <f t="shared" si="1"/>
        <v>NORD BRASIL -ON</v>
      </c>
      <c r="R21" s="51">
        <f t="shared" si="2"/>
        <v>41705</v>
      </c>
      <c r="S21" s="5">
        <f t="shared" si="3"/>
        <v>25.01</v>
      </c>
      <c r="T21" s="5">
        <f t="shared" si="4"/>
        <v>25.01</v>
      </c>
      <c r="U21" s="5">
        <f t="shared" si="5"/>
        <v>25.01</v>
      </c>
      <c r="V21" s="5">
        <f t="shared" si="6"/>
        <v>25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209</v>
      </c>
      <c r="D22" s="3" t="s">
        <v>1325</v>
      </c>
      <c r="E22" s="3" t="s">
        <v>1325</v>
      </c>
      <c r="F22" s="3" t="s">
        <v>1325</v>
      </c>
      <c r="G22" s="3" t="s">
        <v>1325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207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747</v>
      </c>
      <c r="D23" s="3" t="s">
        <v>426</v>
      </c>
      <c r="E23" s="3" t="s">
        <v>913</v>
      </c>
      <c r="F23" s="3" t="s">
        <v>913</v>
      </c>
      <c r="G23" s="3" t="s">
        <v>913</v>
      </c>
      <c r="H23" s="20">
        <v>41705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216</v>
      </c>
      <c r="Q23" s="10" t="str">
        <f t="shared" si="1"/>
        <v>ALFA CONSORC-PNE</v>
      </c>
      <c r="R23" s="51">
        <f t="shared" si="2"/>
        <v>41705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221</v>
      </c>
      <c r="D24" s="3" t="s">
        <v>913</v>
      </c>
      <c r="E24" s="3" t="s">
        <v>913</v>
      </c>
      <c r="F24" s="3" t="s">
        <v>913</v>
      </c>
      <c r="G24" s="3" t="s">
        <v>913</v>
      </c>
      <c r="H24" s="20">
        <v>41705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217</v>
      </c>
      <c r="Q24" s="10" t="str">
        <f t="shared" si="1"/>
        <v>ALFA CONSORC-PNF</v>
      </c>
      <c r="R24" s="51">
        <f t="shared" si="2"/>
        <v>41705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218</v>
      </c>
      <c r="D25" s="3" t="s">
        <v>913</v>
      </c>
      <c r="E25" s="3" t="s">
        <v>913</v>
      </c>
      <c r="F25" s="3" t="s">
        <v>913</v>
      </c>
      <c r="G25" s="3" t="s">
        <v>913</v>
      </c>
      <c r="H25" s="20">
        <v>41705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212</v>
      </c>
      <c r="Q25" s="10" t="str">
        <f t="shared" si="1"/>
        <v>ALFA CONSORC-ON</v>
      </c>
      <c r="R25" s="20">
        <f t="shared" si="2"/>
        <v>41705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748</v>
      </c>
      <c r="D26" s="3" t="s">
        <v>426</v>
      </c>
      <c r="E26" s="3" t="s">
        <v>219</v>
      </c>
      <c r="F26" s="3" t="s">
        <v>219</v>
      </c>
      <c r="G26" s="3" t="s">
        <v>219</v>
      </c>
      <c r="H26" s="20">
        <v>41705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213</v>
      </c>
      <c r="Q26" s="10" t="str">
        <f t="shared" si="1"/>
        <v>ALFA CONSORC-PNA</v>
      </c>
      <c r="R26" s="20">
        <f t="shared" si="2"/>
        <v>41705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749</v>
      </c>
      <c r="D27" s="3" t="s">
        <v>426</v>
      </c>
      <c r="E27" s="3" t="s">
        <v>750</v>
      </c>
      <c r="F27" s="3" t="s">
        <v>750</v>
      </c>
      <c r="G27" s="3" t="s">
        <v>750</v>
      </c>
      <c r="H27" s="20">
        <v>41705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41705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751</v>
      </c>
      <c r="D28" s="3" t="s">
        <v>426</v>
      </c>
      <c r="E28" s="3" t="s">
        <v>220</v>
      </c>
      <c r="F28" s="3" t="s">
        <v>220</v>
      </c>
      <c r="G28" s="3" t="s">
        <v>220</v>
      </c>
      <c r="H28" s="20">
        <v>41705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214</v>
      </c>
      <c r="Q28" s="10" t="str">
        <f t="shared" si="1"/>
        <v>ALFA CONSORC-PNC</v>
      </c>
      <c r="R28" s="20">
        <f t="shared" si="2"/>
        <v>41705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752</v>
      </c>
      <c r="D29" s="3" t="s">
        <v>426</v>
      </c>
      <c r="E29" s="3" t="s">
        <v>753</v>
      </c>
      <c r="F29" s="3" t="s">
        <v>753</v>
      </c>
      <c r="G29" s="3" t="s">
        <v>753</v>
      </c>
      <c r="H29" s="20">
        <v>41705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215</v>
      </c>
      <c r="Q29" s="10" t="str">
        <f t="shared" si="1"/>
        <v>ALFA CONSORC-PND</v>
      </c>
      <c r="R29" s="20">
        <f t="shared" si="2"/>
        <v>41705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754</v>
      </c>
      <c r="D30" s="3" t="s">
        <v>1348</v>
      </c>
      <c r="E30" s="3" t="s">
        <v>1348</v>
      </c>
      <c r="F30" s="3" t="s">
        <v>1348</v>
      </c>
      <c r="G30" s="3" t="s">
        <v>1348</v>
      </c>
      <c r="H30" s="20">
        <v>41705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191</v>
      </c>
      <c r="Q30" s="10" t="str">
        <f t="shared" si="1"/>
        <v>ALFA INVEST -ON</v>
      </c>
      <c r="R30" s="20">
        <f t="shared" si="2"/>
        <v>41705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755</v>
      </c>
      <c r="D31" s="3" t="s">
        <v>1367</v>
      </c>
      <c r="E31" s="3" t="s">
        <v>1382</v>
      </c>
      <c r="F31" s="3" t="s">
        <v>1382</v>
      </c>
      <c r="G31" s="3" t="s">
        <v>1367</v>
      </c>
      <c r="H31" s="20">
        <v>41705</v>
      </c>
      <c r="J31" s="3">
        <f t="shared" si="7"/>
        <v>5.72</v>
      </c>
      <c r="K31" s="3">
        <f t="shared" si="7"/>
        <v>5.73</v>
      </c>
      <c r="L31" s="3">
        <f t="shared" si="7"/>
        <v>5.73</v>
      </c>
      <c r="M31" s="3">
        <f t="shared" si="7"/>
        <v>5.72</v>
      </c>
      <c r="P31" s="10" t="s">
        <v>192</v>
      </c>
      <c r="Q31" s="10" t="str">
        <f t="shared" si="1"/>
        <v>ALFA INVEST -PN</v>
      </c>
      <c r="R31" s="20">
        <f t="shared" si="2"/>
        <v>41705</v>
      </c>
      <c r="S31" s="5">
        <f t="shared" si="3"/>
        <v>5.72</v>
      </c>
      <c r="T31" s="5">
        <f t="shared" si="4"/>
        <v>5.73</v>
      </c>
      <c r="U31" s="5">
        <f t="shared" si="5"/>
        <v>5.73</v>
      </c>
      <c r="V31" s="5">
        <f t="shared" si="6"/>
        <v>5.72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201</v>
      </c>
      <c r="D32" s="3" t="s">
        <v>426</v>
      </c>
      <c r="E32" s="3" t="s">
        <v>395</v>
      </c>
      <c r="F32" s="3" t="s">
        <v>395</v>
      </c>
      <c r="G32" s="3" t="s">
        <v>395</v>
      </c>
      <c r="H32" s="20">
        <v>41705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199</v>
      </c>
      <c r="Q32" s="10" t="str">
        <f t="shared" si="1"/>
        <v xml:space="preserve">BANRISUL    -ON  </v>
      </c>
      <c r="R32" s="20">
        <f t="shared" si="2"/>
        <v>41705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202</v>
      </c>
      <c r="D33" s="3" t="s">
        <v>1125</v>
      </c>
      <c r="E33" s="3" t="s">
        <v>1125</v>
      </c>
      <c r="F33" s="3" t="s">
        <v>1125</v>
      </c>
      <c r="G33" s="3" t="s">
        <v>1125</v>
      </c>
      <c r="H33" s="20">
        <v>41705</v>
      </c>
      <c r="J33" s="3">
        <f t="shared" si="7"/>
        <v>11.6</v>
      </c>
      <c r="K33" s="3">
        <f t="shared" si="7"/>
        <v>11.6</v>
      </c>
      <c r="L33" s="3">
        <f t="shared" si="7"/>
        <v>11.6</v>
      </c>
      <c r="M33" s="3">
        <f t="shared" si="7"/>
        <v>11.6</v>
      </c>
      <c r="P33" s="15" t="s">
        <v>200</v>
      </c>
      <c r="Q33" s="10" t="str">
        <f t="shared" si="1"/>
        <v xml:space="preserve">BANRISUL    -PNA </v>
      </c>
      <c r="R33" s="51">
        <f t="shared" si="2"/>
        <v>41705</v>
      </c>
      <c r="S33" s="5">
        <f t="shared" si="3"/>
        <v>11.6</v>
      </c>
      <c r="T33" s="5">
        <f t="shared" si="4"/>
        <v>11.6</v>
      </c>
      <c r="U33" s="5">
        <f t="shared" si="5"/>
        <v>11.6</v>
      </c>
      <c r="V33" s="5">
        <f t="shared" si="6"/>
        <v>11.6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108</v>
      </c>
      <c r="D34" s="3" t="s">
        <v>1572</v>
      </c>
      <c r="E34" s="3" t="s">
        <v>1573</v>
      </c>
      <c r="F34" s="3" t="s">
        <v>1574</v>
      </c>
      <c r="G34" s="3" t="s">
        <v>1125</v>
      </c>
      <c r="H34" s="20">
        <v>41705</v>
      </c>
      <c r="J34" s="3">
        <f t="shared" si="7"/>
        <v>11.67</v>
      </c>
      <c r="K34" s="3">
        <f t="shared" si="7"/>
        <v>12.04</v>
      </c>
      <c r="L34" s="3">
        <f t="shared" si="7"/>
        <v>12.08</v>
      </c>
      <c r="M34" s="3">
        <f t="shared" si="7"/>
        <v>11.6</v>
      </c>
      <c r="P34" s="10" t="s">
        <v>23</v>
      </c>
      <c r="Q34" s="10" t="str">
        <f t="shared" si="1"/>
        <v xml:space="preserve">BANRISUL    -PNB </v>
      </c>
      <c r="R34" s="20">
        <f t="shared" si="2"/>
        <v>41705</v>
      </c>
      <c r="S34" s="5">
        <f t="shared" si="3"/>
        <v>11.67</v>
      </c>
      <c r="T34" s="5">
        <f t="shared" si="4"/>
        <v>12.04</v>
      </c>
      <c r="U34" s="5">
        <f t="shared" si="5"/>
        <v>12.08</v>
      </c>
      <c r="V34" s="5">
        <f t="shared" si="6"/>
        <v>11.6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1481</v>
      </c>
      <c r="D35" s="3" t="s">
        <v>426</v>
      </c>
      <c r="E35" s="3" t="s">
        <v>1022</v>
      </c>
      <c r="F35" s="3" t="s">
        <v>1022</v>
      </c>
      <c r="G35" s="3" t="s">
        <v>1022</v>
      </c>
      <c r="H35" s="20">
        <v>41705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210</v>
      </c>
      <c r="Q35" s="10" t="str">
        <f t="shared" si="1"/>
        <v xml:space="preserve">BRB BANCO   -ON  </v>
      </c>
      <c r="R35" s="20">
        <f t="shared" si="2"/>
        <v>41705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1482</v>
      </c>
      <c r="D36" s="3" t="s">
        <v>426</v>
      </c>
      <c r="E36" s="3" t="s">
        <v>617</v>
      </c>
      <c r="F36" s="3" t="s">
        <v>617</v>
      </c>
      <c r="G36" s="3" t="s">
        <v>617</v>
      </c>
      <c r="H36" s="20">
        <v>41705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211</v>
      </c>
      <c r="Q36" s="10" t="str">
        <f t="shared" si="1"/>
        <v xml:space="preserve">BRB BANCO   -PN  </v>
      </c>
      <c r="R36" s="51">
        <f t="shared" si="2"/>
        <v>41705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175</v>
      </c>
      <c r="D37" s="3" t="s">
        <v>426</v>
      </c>
      <c r="E37" s="3" t="s">
        <v>156</v>
      </c>
      <c r="F37" s="3" t="s">
        <v>156</v>
      </c>
      <c r="G37" s="3" t="s">
        <v>156</v>
      </c>
      <c r="H37" s="20">
        <v>41705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174</v>
      </c>
      <c r="Q37" s="10" t="str">
        <f t="shared" si="1"/>
        <v>CASAN       -ON</v>
      </c>
      <c r="R37" s="51">
        <f t="shared" si="2"/>
        <v>41705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109</v>
      </c>
      <c r="D38" s="3" t="s">
        <v>426</v>
      </c>
      <c r="E38" s="3" t="s">
        <v>744</v>
      </c>
      <c r="F38" s="3" t="s">
        <v>744</v>
      </c>
      <c r="G38" s="3" t="s">
        <v>744</v>
      </c>
      <c r="H38" s="20">
        <v>41705</v>
      </c>
      <c r="J38" s="3" t="e">
        <f t="shared" si="7"/>
        <v>#VALUE!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41705</v>
      </c>
      <c r="S38" s="5" t="e">
        <f t="shared" si="3"/>
        <v>#VALUE!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110</v>
      </c>
      <c r="D39" s="3" t="s">
        <v>743</v>
      </c>
      <c r="E39" s="3" t="s">
        <v>424</v>
      </c>
      <c r="F39" s="3" t="s">
        <v>743</v>
      </c>
      <c r="G39" s="3" t="s">
        <v>424</v>
      </c>
      <c r="H39" s="20">
        <v>41705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41705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111</v>
      </c>
      <c r="D40" s="3" t="s">
        <v>426</v>
      </c>
      <c r="E40" s="3" t="s">
        <v>756</v>
      </c>
      <c r="F40" s="3" t="s">
        <v>756</v>
      </c>
      <c r="G40" s="3" t="s">
        <v>756</v>
      </c>
      <c r="H40" s="20">
        <v>41705</v>
      </c>
      <c r="J40" s="3" t="e">
        <f t="shared" si="7"/>
        <v>#VALUE!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17.600000000000001</v>
      </c>
      <c r="P40" s="14" t="s">
        <v>69</v>
      </c>
      <c r="Q40" s="10" t="str">
        <f t="shared" si="8"/>
        <v>CEB         -PNB</v>
      </c>
      <c r="R40" s="20">
        <f t="shared" si="9"/>
        <v>41705</v>
      </c>
      <c r="S40" s="5" t="e">
        <f t="shared" si="10"/>
        <v>#VALUE!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17.600000000000001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636</v>
      </c>
      <c r="D41" s="3" t="s">
        <v>1575</v>
      </c>
      <c r="E41" s="3" t="s">
        <v>1576</v>
      </c>
      <c r="F41" s="3" t="s">
        <v>617</v>
      </c>
      <c r="G41" s="3" t="s">
        <v>1577</v>
      </c>
      <c r="H41" s="20">
        <v>41705</v>
      </c>
      <c r="J41" s="3">
        <f t="shared" si="7"/>
        <v>26.11</v>
      </c>
      <c r="K41" s="3">
        <f t="shared" si="7"/>
        <v>27.5</v>
      </c>
      <c r="L41" s="3">
        <f t="shared" si="7"/>
        <v>28</v>
      </c>
      <c r="M41" s="3">
        <f t="shared" si="7"/>
        <v>26.01</v>
      </c>
      <c r="P41" s="14" t="s">
        <v>88</v>
      </c>
      <c r="Q41" s="10" t="str">
        <f t="shared" si="8"/>
        <v>COELBA      -ON</v>
      </c>
      <c r="R41" s="46">
        <f t="shared" si="9"/>
        <v>41705</v>
      </c>
      <c r="S41" s="6">
        <f t="shared" si="10"/>
        <v>26.11</v>
      </c>
      <c r="T41" s="6">
        <f t="shared" si="11"/>
        <v>27.5</v>
      </c>
      <c r="U41" s="6">
        <f t="shared" si="12"/>
        <v>28</v>
      </c>
      <c r="V41" s="6">
        <f t="shared" si="13"/>
        <v>26.01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637</v>
      </c>
      <c r="D42" s="3" t="s">
        <v>426</v>
      </c>
      <c r="E42" s="3" t="s">
        <v>112</v>
      </c>
      <c r="F42" s="3" t="s">
        <v>112</v>
      </c>
      <c r="G42" s="3" t="s">
        <v>112</v>
      </c>
      <c r="H42" s="20">
        <v>41705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41705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113</v>
      </c>
      <c r="D43" s="3" t="s">
        <v>426</v>
      </c>
      <c r="E43" s="3" t="s">
        <v>1023</v>
      </c>
      <c r="F43" s="3" t="s">
        <v>1023</v>
      </c>
      <c r="G43" s="3" t="s">
        <v>1023</v>
      </c>
      <c r="H43" s="20">
        <v>41705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41705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114</v>
      </c>
      <c r="D44" s="3" t="s">
        <v>1407</v>
      </c>
      <c r="E44" s="3" t="s">
        <v>1407</v>
      </c>
      <c r="F44" s="3" t="s">
        <v>1407</v>
      </c>
      <c r="G44" s="3" t="s">
        <v>1407</v>
      </c>
      <c r="H44" s="20">
        <v>41705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41705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115</v>
      </c>
      <c r="D45" s="3" t="s">
        <v>1578</v>
      </c>
      <c r="E45" s="3" t="s">
        <v>1579</v>
      </c>
      <c r="F45" s="3" t="s">
        <v>1578</v>
      </c>
      <c r="G45" s="3" t="s">
        <v>1580</v>
      </c>
      <c r="H45" s="20">
        <v>41705</v>
      </c>
      <c r="J45" s="3">
        <f t="shared" si="7"/>
        <v>18.95</v>
      </c>
      <c r="K45" s="3">
        <f t="shared" si="7"/>
        <v>18.920000000000002</v>
      </c>
      <c r="L45" s="3">
        <f t="shared" si="7"/>
        <v>18.95</v>
      </c>
      <c r="M45" s="3">
        <f t="shared" si="7"/>
        <v>18.91</v>
      </c>
      <c r="P45" s="14" t="s">
        <v>72</v>
      </c>
      <c r="Q45" s="10" t="str">
        <f t="shared" si="8"/>
        <v xml:space="preserve">CESP        -ON  </v>
      </c>
      <c r="R45" s="46">
        <f t="shared" si="9"/>
        <v>41705</v>
      </c>
      <c r="S45" s="6">
        <f t="shared" si="10"/>
        <v>18.95</v>
      </c>
      <c r="T45" s="6">
        <f t="shared" si="11"/>
        <v>18.920000000000002</v>
      </c>
      <c r="U45" s="6">
        <f t="shared" si="12"/>
        <v>18.95</v>
      </c>
      <c r="V45" s="6">
        <f t="shared" si="13"/>
        <v>18.91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116</v>
      </c>
      <c r="D46" s="3" t="s">
        <v>1581</v>
      </c>
      <c r="E46" s="3" t="s">
        <v>1582</v>
      </c>
      <c r="F46" s="3" t="s">
        <v>1581</v>
      </c>
      <c r="G46" s="3" t="s">
        <v>1582</v>
      </c>
      <c r="H46" s="20">
        <v>41705</v>
      </c>
      <c r="J46" s="3">
        <f t="shared" si="7"/>
        <v>22.13</v>
      </c>
      <c r="K46" s="3">
        <f t="shared" si="7"/>
        <v>21.4</v>
      </c>
      <c r="L46" s="3">
        <f t="shared" si="7"/>
        <v>22.13</v>
      </c>
      <c r="M46" s="3">
        <f t="shared" si="7"/>
        <v>21.4</v>
      </c>
      <c r="P46" s="14" t="s">
        <v>86</v>
      </c>
      <c r="Q46" s="10" t="str">
        <f t="shared" si="8"/>
        <v xml:space="preserve">CESP        -PNA </v>
      </c>
      <c r="R46" s="46">
        <f t="shared" si="9"/>
        <v>41705</v>
      </c>
      <c r="S46" s="6">
        <f t="shared" si="10"/>
        <v>22.13</v>
      </c>
      <c r="T46" s="6">
        <f t="shared" si="11"/>
        <v>21.4</v>
      </c>
      <c r="U46" s="6">
        <f t="shared" si="12"/>
        <v>22.13</v>
      </c>
      <c r="V46" s="6">
        <f t="shared" si="13"/>
        <v>21.4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117</v>
      </c>
      <c r="D47" s="3" t="s">
        <v>1583</v>
      </c>
      <c r="E47" s="3" t="s">
        <v>1498</v>
      </c>
      <c r="F47" s="3" t="s">
        <v>1584</v>
      </c>
      <c r="G47" s="3" t="s">
        <v>1585</v>
      </c>
      <c r="H47" s="20">
        <v>41705</v>
      </c>
      <c r="J47" s="3">
        <f t="shared" si="7"/>
        <v>22.24</v>
      </c>
      <c r="K47" s="3">
        <f t="shared" si="7"/>
        <v>21.33</v>
      </c>
      <c r="L47" s="3">
        <f t="shared" si="7"/>
        <v>22.29</v>
      </c>
      <c r="M47" s="3">
        <f t="shared" si="7"/>
        <v>21.13</v>
      </c>
      <c r="P47" s="14" t="s">
        <v>87</v>
      </c>
      <c r="Q47" s="10" t="str">
        <f t="shared" si="8"/>
        <v xml:space="preserve">CESP        -PNB </v>
      </c>
      <c r="R47" s="20">
        <f t="shared" si="9"/>
        <v>41705</v>
      </c>
      <c r="S47" s="5">
        <f t="shared" si="10"/>
        <v>22.24</v>
      </c>
      <c r="T47" s="5">
        <f t="shared" si="11"/>
        <v>21.33</v>
      </c>
      <c r="U47" s="5">
        <f t="shared" si="12"/>
        <v>22.29</v>
      </c>
      <c r="V47" s="5">
        <f t="shared" si="13"/>
        <v>21.13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118</v>
      </c>
      <c r="D48" s="3" t="s">
        <v>744</v>
      </c>
      <c r="E48" s="3" t="s">
        <v>1483</v>
      </c>
      <c r="F48" s="3" t="s">
        <v>744</v>
      </c>
      <c r="G48" s="3" t="s">
        <v>1483</v>
      </c>
      <c r="H48" s="20">
        <v>41705</v>
      </c>
      <c r="J48" s="3">
        <f t="shared" si="7"/>
        <v>16</v>
      </c>
      <c r="K48" s="3">
        <f t="shared" si="7"/>
        <v>15.9</v>
      </c>
      <c r="L48" s="3">
        <f t="shared" si="7"/>
        <v>16</v>
      </c>
      <c r="M48" s="3">
        <f t="shared" si="7"/>
        <v>15.9</v>
      </c>
      <c r="P48" s="14" t="s">
        <v>71</v>
      </c>
      <c r="Q48" s="10" t="str">
        <f t="shared" si="8"/>
        <v xml:space="preserve">CELESC      -PN  </v>
      </c>
      <c r="R48" s="20">
        <f t="shared" si="9"/>
        <v>41705</v>
      </c>
      <c r="S48" s="5">
        <f t="shared" si="10"/>
        <v>16</v>
      </c>
      <c r="T48" s="5">
        <f t="shared" si="11"/>
        <v>15.9</v>
      </c>
      <c r="U48" s="5">
        <f t="shared" si="12"/>
        <v>16</v>
      </c>
      <c r="V48" s="5">
        <f t="shared" si="13"/>
        <v>15.9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119</v>
      </c>
      <c r="D49" s="3" t="s">
        <v>1586</v>
      </c>
      <c r="E49" s="3" t="s">
        <v>1535</v>
      </c>
      <c r="F49" s="3" t="s">
        <v>1586</v>
      </c>
      <c r="G49" s="3" t="s">
        <v>1535</v>
      </c>
      <c r="H49" s="20">
        <v>41705</v>
      </c>
      <c r="J49" s="3">
        <f t="shared" si="7"/>
        <v>13.56</v>
      </c>
      <c r="K49" s="3">
        <f t="shared" si="7"/>
        <v>13.3</v>
      </c>
      <c r="L49" s="3">
        <f t="shared" si="7"/>
        <v>13.56</v>
      </c>
      <c r="M49" s="3">
        <f t="shared" si="7"/>
        <v>13.3</v>
      </c>
      <c r="P49" s="26" t="s">
        <v>31</v>
      </c>
      <c r="Q49" s="10" t="str">
        <f t="shared" si="8"/>
        <v xml:space="preserve">CEMIG       -ON  </v>
      </c>
      <c r="R49" s="20">
        <f t="shared" si="9"/>
        <v>41705</v>
      </c>
      <c r="S49" s="5">
        <f t="shared" si="10"/>
        <v>13.56</v>
      </c>
      <c r="T49" s="5">
        <f t="shared" si="11"/>
        <v>13.3</v>
      </c>
      <c r="U49" s="5">
        <f t="shared" si="12"/>
        <v>13.56</v>
      </c>
      <c r="V49" s="5">
        <f t="shared" si="13"/>
        <v>13.3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120</v>
      </c>
      <c r="D50" s="3" t="s">
        <v>1587</v>
      </c>
      <c r="E50" s="3" t="s">
        <v>1588</v>
      </c>
      <c r="F50" s="3" t="s">
        <v>1399</v>
      </c>
      <c r="G50" s="3" t="s">
        <v>1589</v>
      </c>
      <c r="H50" s="20">
        <v>41705</v>
      </c>
      <c r="J50" s="3">
        <f t="shared" si="7"/>
        <v>13.42</v>
      </c>
      <c r="K50" s="3">
        <f t="shared" si="7"/>
        <v>12.92</v>
      </c>
      <c r="L50" s="3">
        <f t="shared" si="7"/>
        <v>13.44</v>
      </c>
      <c r="M50" s="3">
        <f t="shared" si="7"/>
        <v>12.9</v>
      </c>
      <c r="P50" s="26" t="s">
        <v>30</v>
      </c>
      <c r="Q50" s="10" t="str">
        <f t="shared" si="8"/>
        <v xml:space="preserve">CEMIG       -PN  </v>
      </c>
      <c r="R50" s="46">
        <f t="shared" si="9"/>
        <v>41705</v>
      </c>
      <c r="S50" s="6">
        <f t="shared" si="10"/>
        <v>13.42</v>
      </c>
      <c r="T50" s="6">
        <f t="shared" si="11"/>
        <v>12.92</v>
      </c>
      <c r="U50" s="6">
        <f t="shared" si="12"/>
        <v>13.44</v>
      </c>
      <c r="V50" s="6">
        <f t="shared" si="13"/>
        <v>12.9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121</v>
      </c>
      <c r="D51" s="3" t="s">
        <v>1408</v>
      </c>
      <c r="E51" s="3" t="s">
        <v>1590</v>
      </c>
      <c r="F51" s="3" t="s">
        <v>1591</v>
      </c>
      <c r="G51" s="3" t="s">
        <v>1408</v>
      </c>
      <c r="H51" s="20">
        <v>41705</v>
      </c>
      <c r="J51" s="3">
        <f t="shared" si="7"/>
        <v>48.5</v>
      </c>
      <c r="K51" s="3">
        <f t="shared" si="7"/>
        <v>48.56</v>
      </c>
      <c r="L51" s="3">
        <f t="shared" si="7"/>
        <v>48.57</v>
      </c>
      <c r="M51" s="3">
        <f t="shared" si="7"/>
        <v>48.5</v>
      </c>
      <c r="P51" s="14" t="s">
        <v>93</v>
      </c>
      <c r="Q51" s="10" t="str">
        <f t="shared" si="8"/>
        <v>COELCE      -ON</v>
      </c>
      <c r="R51" s="46">
        <f t="shared" si="9"/>
        <v>41705</v>
      </c>
      <c r="S51" s="6">
        <f t="shared" si="10"/>
        <v>48.5</v>
      </c>
      <c r="T51" s="6">
        <f t="shared" si="11"/>
        <v>48.56</v>
      </c>
      <c r="U51" s="6">
        <f t="shared" si="12"/>
        <v>48.57</v>
      </c>
      <c r="V51" s="6">
        <f t="shared" si="13"/>
        <v>48.5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122</v>
      </c>
      <c r="D52" s="3" t="s">
        <v>1592</v>
      </c>
      <c r="E52" s="3" t="s">
        <v>1593</v>
      </c>
      <c r="F52" s="3" t="s">
        <v>1513</v>
      </c>
      <c r="G52" s="3" t="s">
        <v>1594</v>
      </c>
      <c r="H52" s="20">
        <v>41705</v>
      </c>
      <c r="J52" s="3">
        <f t="shared" si="7"/>
        <v>37.159999999999997</v>
      </c>
      <c r="K52" s="3">
        <f t="shared" si="7"/>
        <v>36.86</v>
      </c>
      <c r="L52" s="3">
        <f t="shared" si="7"/>
        <v>37.29</v>
      </c>
      <c r="M52" s="3">
        <f t="shared" si="7"/>
        <v>36.81</v>
      </c>
      <c r="P52" s="10" t="s">
        <v>81</v>
      </c>
      <c r="Q52" s="10" t="str">
        <f t="shared" si="8"/>
        <v>COELCE      -PNA</v>
      </c>
      <c r="R52" s="51">
        <f t="shared" si="9"/>
        <v>41705</v>
      </c>
      <c r="S52" s="5">
        <f t="shared" si="10"/>
        <v>37.159999999999997</v>
      </c>
      <c r="T52" s="5">
        <f t="shared" si="11"/>
        <v>36.86</v>
      </c>
      <c r="U52" s="5">
        <f t="shared" si="12"/>
        <v>37.29</v>
      </c>
      <c r="V52" s="5">
        <f t="shared" si="13"/>
        <v>36.81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123</v>
      </c>
      <c r="D53" s="3" t="s">
        <v>1484</v>
      </c>
      <c r="E53" s="3" t="s">
        <v>1595</v>
      </c>
      <c r="F53" s="3" t="s">
        <v>1596</v>
      </c>
      <c r="G53" s="3" t="s">
        <v>1597</v>
      </c>
      <c r="H53" s="20">
        <v>41705</v>
      </c>
      <c r="J53" s="3">
        <f t="shared" si="7"/>
        <v>16.77</v>
      </c>
      <c r="K53" s="3">
        <f t="shared" si="7"/>
        <v>16.32</v>
      </c>
      <c r="L53" s="3">
        <f t="shared" si="7"/>
        <v>16.920000000000002</v>
      </c>
      <c r="M53" s="3">
        <f t="shared" si="7"/>
        <v>16.25</v>
      </c>
      <c r="P53" s="26" t="s">
        <v>32</v>
      </c>
      <c r="Q53" s="10" t="str">
        <f t="shared" si="8"/>
        <v xml:space="preserve">CPFL ENERGIA-ON  </v>
      </c>
      <c r="R53" s="51">
        <f t="shared" si="9"/>
        <v>41705</v>
      </c>
      <c r="S53" s="5">
        <f t="shared" si="10"/>
        <v>16.77</v>
      </c>
      <c r="T53" s="5">
        <f t="shared" si="11"/>
        <v>16.32</v>
      </c>
      <c r="U53" s="5">
        <f t="shared" si="12"/>
        <v>16.920000000000002</v>
      </c>
      <c r="V53" s="5">
        <f t="shared" si="13"/>
        <v>16.25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124</v>
      </c>
      <c r="D54" s="3" t="s">
        <v>1598</v>
      </c>
      <c r="E54" s="3" t="s">
        <v>1599</v>
      </c>
      <c r="F54" s="3" t="s">
        <v>1579</v>
      </c>
      <c r="G54" s="3" t="s">
        <v>1518</v>
      </c>
      <c r="H54" s="20">
        <v>41705</v>
      </c>
      <c r="J54" s="3">
        <f t="shared" si="7"/>
        <v>18.62</v>
      </c>
      <c r="K54" s="3">
        <f t="shared" si="7"/>
        <v>17.98</v>
      </c>
      <c r="L54" s="3">
        <f t="shared" si="7"/>
        <v>18.920000000000002</v>
      </c>
      <c r="M54" s="3">
        <f t="shared" si="7"/>
        <v>17.93</v>
      </c>
      <c r="P54" s="26" t="s">
        <v>34</v>
      </c>
      <c r="Q54" s="10" t="str">
        <f t="shared" si="8"/>
        <v xml:space="preserve">COPEL       -ON  </v>
      </c>
      <c r="R54" s="51">
        <f t="shared" si="9"/>
        <v>41705</v>
      </c>
      <c r="S54" s="5">
        <f t="shared" si="10"/>
        <v>18.62</v>
      </c>
      <c r="T54" s="5">
        <f t="shared" si="11"/>
        <v>17.98</v>
      </c>
      <c r="U54" s="5">
        <f t="shared" si="12"/>
        <v>18.920000000000002</v>
      </c>
      <c r="V54" s="5">
        <f t="shared" si="13"/>
        <v>17.93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125</v>
      </c>
      <c r="D55" s="3" t="s">
        <v>426</v>
      </c>
      <c r="E55" s="3" t="s">
        <v>126</v>
      </c>
      <c r="F55" s="3" t="s">
        <v>126</v>
      </c>
      <c r="G55" s="3" t="s">
        <v>126</v>
      </c>
      <c r="H55" s="20">
        <v>41705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41705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127</v>
      </c>
      <c r="D56" s="3" t="s">
        <v>1600</v>
      </c>
      <c r="E56" s="3" t="s">
        <v>1601</v>
      </c>
      <c r="F56" s="3" t="s">
        <v>1602</v>
      </c>
      <c r="G56" s="3" t="s">
        <v>1471</v>
      </c>
      <c r="H56" s="20">
        <v>41705</v>
      </c>
      <c r="J56" s="3">
        <f t="shared" si="7"/>
        <v>25.87</v>
      </c>
      <c r="K56" s="3">
        <f t="shared" si="7"/>
        <v>24.98</v>
      </c>
      <c r="L56" s="3">
        <f t="shared" si="7"/>
        <v>26.3</v>
      </c>
      <c r="M56" s="3">
        <f t="shared" si="7"/>
        <v>24.88</v>
      </c>
      <c r="P56" s="14" t="s">
        <v>100</v>
      </c>
      <c r="Q56" s="10" t="str">
        <f t="shared" si="8"/>
        <v xml:space="preserve">COPEL       -PNB </v>
      </c>
      <c r="R56" s="51">
        <f t="shared" si="9"/>
        <v>41705</v>
      </c>
      <c r="S56" s="5">
        <f t="shared" si="10"/>
        <v>25.87</v>
      </c>
      <c r="T56" s="5">
        <f t="shared" si="11"/>
        <v>24.98</v>
      </c>
      <c r="U56" s="5">
        <f t="shared" si="12"/>
        <v>26.3</v>
      </c>
      <c r="V56" s="5">
        <f t="shared" si="13"/>
        <v>24.88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177</v>
      </c>
      <c r="D57" s="3" t="s">
        <v>1603</v>
      </c>
      <c r="E57" s="3" t="s">
        <v>112</v>
      </c>
      <c r="F57" s="3" t="s">
        <v>1604</v>
      </c>
      <c r="G57" s="3" t="s">
        <v>1605</v>
      </c>
      <c r="H57" s="20">
        <v>41705</v>
      </c>
      <c r="J57" s="3">
        <f t="shared" si="7"/>
        <v>33.18</v>
      </c>
      <c r="K57" s="3">
        <f t="shared" si="7"/>
        <v>32.01</v>
      </c>
      <c r="L57" s="3">
        <f t="shared" si="7"/>
        <v>34</v>
      </c>
      <c r="M57" s="3">
        <f t="shared" si="7"/>
        <v>31.76</v>
      </c>
      <c r="P57" s="14" t="s">
        <v>176</v>
      </c>
      <c r="Q57" s="10" t="str">
        <f t="shared" si="8"/>
        <v xml:space="preserve">COPASA      -ON  </v>
      </c>
      <c r="R57" s="20">
        <f t="shared" si="9"/>
        <v>41705</v>
      </c>
      <c r="S57" s="5">
        <f t="shared" si="10"/>
        <v>33.18</v>
      </c>
      <c r="T57" s="5">
        <f t="shared" si="11"/>
        <v>32.01</v>
      </c>
      <c r="U57" s="5">
        <f t="shared" si="12"/>
        <v>34</v>
      </c>
      <c r="V57" s="5">
        <f t="shared" si="13"/>
        <v>31.76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638</v>
      </c>
      <c r="D58" s="3" t="s">
        <v>426</v>
      </c>
      <c r="E58" s="3" t="s">
        <v>333</v>
      </c>
      <c r="F58" s="3" t="s">
        <v>333</v>
      </c>
      <c r="G58" s="3" t="s">
        <v>333</v>
      </c>
      <c r="H58" s="20">
        <v>41705</v>
      </c>
      <c r="J58" s="3" t="e">
        <f t="shared" si="7"/>
        <v>#VALUE!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41705</v>
      </c>
      <c r="S58" s="5" t="e">
        <f t="shared" si="10"/>
        <v>#VALUE!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639</v>
      </c>
      <c r="D59" s="3" t="s">
        <v>426</v>
      </c>
      <c r="E59" s="3" t="s">
        <v>128</v>
      </c>
      <c r="F59" s="3" t="s">
        <v>128</v>
      </c>
      <c r="G59" s="3" t="s">
        <v>128</v>
      </c>
      <c r="H59" s="20">
        <v>41705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41705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640</v>
      </c>
      <c r="D60" s="3" t="s">
        <v>426</v>
      </c>
      <c r="E60" s="3" t="s">
        <v>106</v>
      </c>
      <c r="F60" s="3" t="s">
        <v>106</v>
      </c>
      <c r="G60" s="3" t="s">
        <v>106</v>
      </c>
      <c r="H60" s="20">
        <v>41705</v>
      </c>
      <c r="J60" s="3" t="e">
        <f t="shared" si="7"/>
        <v>#VALUE!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41705</v>
      </c>
      <c r="S60" s="5" t="e">
        <f t="shared" si="10"/>
        <v>#VALUE!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129</v>
      </c>
      <c r="D61" s="3" t="s">
        <v>1486</v>
      </c>
      <c r="E61" s="3" t="s">
        <v>1606</v>
      </c>
      <c r="F61" s="3" t="s">
        <v>1465</v>
      </c>
      <c r="G61" s="3" t="s">
        <v>1607</v>
      </c>
      <c r="H61" s="20">
        <v>41705</v>
      </c>
      <c r="J61" s="3">
        <f t="shared" si="7"/>
        <v>8.68</v>
      </c>
      <c r="K61" s="3">
        <f t="shared" si="7"/>
        <v>8.69</v>
      </c>
      <c r="L61" s="3">
        <f t="shared" si="7"/>
        <v>8.75</v>
      </c>
      <c r="M61" s="3">
        <f t="shared" si="7"/>
        <v>8.6</v>
      </c>
      <c r="P61" s="10" t="s">
        <v>15</v>
      </c>
      <c r="Q61" s="10" t="str">
        <f t="shared" si="8"/>
        <v xml:space="preserve">DAYCOVAL    -PN  </v>
      </c>
      <c r="R61" s="51">
        <f t="shared" si="9"/>
        <v>41705</v>
      </c>
      <c r="S61" s="5">
        <f t="shared" si="10"/>
        <v>8.68</v>
      </c>
      <c r="T61" s="5">
        <f t="shared" si="11"/>
        <v>8.69</v>
      </c>
      <c r="U61" s="5">
        <f t="shared" si="12"/>
        <v>8.75</v>
      </c>
      <c r="V61" s="5">
        <f t="shared" si="13"/>
        <v>8.6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130</v>
      </c>
      <c r="D62" s="3" t="s">
        <v>1608</v>
      </c>
      <c r="E62" s="3" t="s">
        <v>1608</v>
      </c>
      <c r="F62" s="3" t="s">
        <v>1608</v>
      </c>
      <c r="G62" s="3" t="s">
        <v>1608</v>
      </c>
      <c r="H62" s="20">
        <v>41705</v>
      </c>
      <c r="J62" s="3">
        <f t="shared" si="7"/>
        <v>1.57</v>
      </c>
      <c r="K62" s="3">
        <f t="shared" si="7"/>
        <v>1.57</v>
      </c>
      <c r="L62" s="3">
        <f t="shared" si="7"/>
        <v>1.57</v>
      </c>
      <c r="M62" s="3">
        <f t="shared" si="7"/>
        <v>1.57</v>
      </c>
      <c r="P62" s="14" t="s">
        <v>97</v>
      </c>
      <c r="Q62" s="10" t="str">
        <f t="shared" si="8"/>
        <v xml:space="preserve">CEEE-GT     -ON  </v>
      </c>
      <c r="R62" s="51">
        <f t="shared" si="9"/>
        <v>41705</v>
      </c>
      <c r="S62" s="5">
        <f t="shared" si="10"/>
        <v>1.57</v>
      </c>
      <c r="T62" s="5">
        <f t="shared" si="11"/>
        <v>1.57</v>
      </c>
      <c r="U62" s="5">
        <f t="shared" si="12"/>
        <v>1.57</v>
      </c>
      <c r="V62" s="5">
        <f t="shared" si="13"/>
        <v>1.57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131</v>
      </c>
      <c r="D63" s="3" t="s">
        <v>426</v>
      </c>
      <c r="E63" s="3" t="s">
        <v>757</v>
      </c>
      <c r="F63" s="3" t="s">
        <v>757</v>
      </c>
      <c r="G63" s="3" t="s">
        <v>757</v>
      </c>
      <c r="H63" s="20">
        <v>41705</v>
      </c>
      <c r="J63" s="3" t="e">
        <f t="shared" si="7"/>
        <v>#VALUE!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41705</v>
      </c>
      <c r="S63" s="5" t="e">
        <f t="shared" si="10"/>
        <v>#VALUE!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132</v>
      </c>
      <c r="D64" s="3" t="s">
        <v>1609</v>
      </c>
      <c r="E64" s="3" t="s">
        <v>1610</v>
      </c>
      <c r="F64" s="3" t="s">
        <v>1611</v>
      </c>
      <c r="G64" s="3" t="s">
        <v>1612</v>
      </c>
      <c r="H64" s="20">
        <v>41705</v>
      </c>
      <c r="J64" s="3">
        <f t="shared" si="7"/>
        <v>4.91</v>
      </c>
      <c r="K64" s="3">
        <f t="shared" si="7"/>
        <v>4.6900000000000004</v>
      </c>
      <c r="L64" s="3">
        <f t="shared" si="7"/>
        <v>4.93</v>
      </c>
      <c r="M64" s="3">
        <f t="shared" si="7"/>
        <v>4.6500000000000004</v>
      </c>
      <c r="P64" s="15" t="s">
        <v>2</v>
      </c>
      <c r="Q64" s="10" t="str">
        <f t="shared" si="8"/>
        <v xml:space="preserve">ELETROBRAS  -ON  </v>
      </c>
      <c r="R64" s="51">
        <f t="shared" si="9"/>
        <v>41705</v>
      </c>
      <c r="S64" s="5">
        <f t="shared" si="10"/>
        <v>4.91</v>
      </c>
      <c r="T64" s="5">
        <f t="shared" si="11"/>
        <v>4.6900000000000004</v>
      </c>
      <c r="U64" s="5">
        <f t="shared" si="12"/>
        <v>4.93</v>
      </c>
      <c r="V64" s="5">
        <f t="shared" si="13"/>
        <v>4.6500000000000004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133</v>
      </c>
      <c r="D65" s="3" t="s">
        <v>1487</v>
      </c>
      <c r="E65" s="3" t="s">
        <v>1486</v>
      </c>
      <c r="F65" s="3" t="s">
        <v>1349</v>
      </c>
      <c r="G65" s="3" t="s">
        <v>1613</v>
      </c>
      <c r="H65" s="20">
        <v>41705</v>
      </c>
      <c r="J65" s="3">
        <f t="shared" si="7"/>
        <v>8.98</v>
      </c>
      <c r="K65" s="3">
        <f t="shared" si="7"/>
        <v>8.68</v>
      </c>
      <c r="L65" s="3">
        <f t="shared" si="7"/>
        <v>9.02</v>
      </c>
      <c r="M65" s="3">
        <f t="shared" si="7"/>
        <v>8.59</v>
      </c>
      <c r="P65" s="26" t="s">
        <v>27</v>
      </c>
      <c r="Q65" s="10" t="str">
        <f t="shared" si="8"/>
        <v xml:space="preserve">ELETROBRAS  -PNB </v>
      </c>
      <c r="R65" s="51">
        <f t="shared" si="9"/>
        <v>41705</v>
      </c>
      <c r="S65" s="5">
        <f t="shared" si="10"/>
        <v>8.98</v>
      </c>
      <c r="T65" s="5">
        <f t="shared" si="11"/>
        <v>8.68</v>
      </c>
      <c r="U65" s="5">
        <f t="shared" si="12"/>
        <v>9.02</v>
      </c>
      <c r="V65" s="5">
        <f t="shared" si="13"/>
        <v>8.59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164</v>
      </c>
      <c r="D66" s="3" t="s">
        <v>1345</v>
      </c>
      <c r="E66" s="3" t="s">
        <v>1345</v>
      </c>
      <c r="F66" s="3" t="s">
        <v>1345</v>
      </c>
      <c r="G66" s="3" t="s">
        <v>1345</v>
      </c>
      <c r="H66" s="20">
        <v>41705</v>
      </c>
      <c r="J66" s="3">
        <f t="shared" si="7"/>
        <v>13.2</v>
      </c>
      <c r="K66" s="3">
        <f t="shared" si="7"/>
        <v>13.2</v>
      </c>
      <c r="L66" s="3">
        <f t="shared" si="7"/>
        <v>13.2</v>
      </c>
      <c r="M66" s="3">
        <f t="shared" si="7"/>
        <v>13.2</v>
      </c>
      <c r="P66" s="14" t="s">
        <v>163</v>
      </c>
      <c r="Q66" s="10" t="str">
        <f t="shared" si="8"/>
        <v xml:space="preserve">ELETROPAULO -ON  </v>
      </c>
      <c r="R66" s="51">
        <f t="shared" si="9"/>
        <v>41705</v>
      </c>
      <c r="S66" s="5">
        <f t="shared" si="10"/>
        <v>13.2</v>
      </c>
      <c r="T66" s="5">
        <f t="shared" si="11"/>
        <v>13.2</v>
      </c>
      <c r="U66" s="5">
        <f t="shared" si="12"/>
        <v>13.2</v>
      </c>
      <c r="V66" s="5">
        <f t="shared" si="13"/>
        <v>13.2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134</v>
      </c>
      <c r="D67" s="3" t="s">
        <v>1614</v>
      </c>
      <c r="E67" s="3" t="s">
        <v>1615</v>
      </c>
      <c r="F67" s="3" t="s">
        <v>1616</v>
      </c>
      <c r="G67" s="3" t="s">
        <v>1617</v>
      </c>
      <c r="H67" s="20">
        <v>41705</v>
      </c>
      <c r="J67" s="3">
        <f t="shared" si="7"/>
        <v>7.95</v>
      </c>
      <c r="K67" s="3">
        <f t="shared" si="7"/>
        <v>7.77</v>
      </c>
      <c r="L67" s="3">
        <f t="shared" si="7"/>
        <v>7.97</v>
      </c>
      <c r="M67" s="3">
        <f t="shared" si="7"/>
        <v>7.73</v>
      </c>
      <c r="P67" s="43" t="s">
        <v>1</v>
      </c>
      <c r="Q67" s="10" t="str">
        <f t="shared" si="8"/>
        <v xml:space="preserve">ELETROPAULO -PN  </v>
      </c>
      <c r="R67" s="51">
        <f t="shared" si="9"/>
        <v>41705</v>
      </c>
      <c r="S67" s="5">
        <f t="shared" si="10"/>
        <v>7.95</v>
      </c>
      <c r="T67" s="5">
        <f t="shared" si="11"/>
        <v>7.77</v>
      </c>
      <c r="U67" s="5">
        <f t="shared" si="12"/>
        <v>7.97</v>
      </c>
      <c r="V67" s="5">
        <f t="shared" si="13"/>
        <v>7.73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166</v>
      </c>
      <c r="D68" s="3" t="s">
        <v>1378</v>
      </c>
      <c r="E68" s="3" t="s">
        <v>1378</v>
      </c>
      <c r="F68" s="3" t="s">
        <v>1378</v>
      </c>
      <c r="G68" s="3" t="s">
        <v>1378</v>
      </c>
      <c r="H68" s="20">
        <v>41705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165</v>
      </c>
      <c r="Q68" s="10" t="str">
        <f t="shared" si="8"/>
        <v>EMAE        -PN</v>
      </c>
      <c r="R68" s="46">
        <f t="shared" si="9"/>
        <v>41705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136</v>
      </c>
      <c r="D69" s="3" t="s">
        <v>1488</v>
      </c>
      <c r="E69" s="3" t="s">
        <v>1618</v>
      </c>
      <c r="F69" s="3" t="s">
        <v>1619</v>
      </c>
      <c r="G69" s="3" t="s">
        <v>1620</v>
      </c>
      <c r="H69" s="20">
        <v>41705</v>
      </c>
      <c r="J69" s="3">
        <f t="shared" si="7"/>
        <v>8.6199999999999992</v>
      </c>
      <c r="K69" s="3">
        <f t="shared" si="7"/>
        <v>8.2899999999999991</v>
      </c>
      <c r="L69" s="3">
        <f t="shared" si="7"/>
        <v>8.6999999999999993</v>
      </c>
      <c r="M69" s="3">
        <f t="shared" si="7"/>
        <v>8.26</v>
      </c>
      <c r="P69" s="14" t="s">
        <v>28</v>
      </c>
      <c r="Q69" s="10" t="str">
        <f t="shared" si="8"/>
        <v xml:space="preserve">ENERGIAS BR -ON  </v>
      </c>
      <c r="R69" s="51">
        <f t="shared" si="9"/>
        <v>41705</v>
      </c>
      <c r="S69" s="5">
        <f t="shared" si="10"/>
        <v>8.6199999999999992</v>
      </c>
      <c r="T69" s="5">
        <f t="shared" si="11"/>
        <v>8.2899999999999991</v>
      </c>
      <c r="U69" s="5">
        <f t="shared" si="12"/>
        <v>8.6999999999999993</v>
      </c>
      <c r="V69" s="5">
        <f t="shared" si="13"/>
        <v>8.26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1489</v>
      </c>
      <c r="D70" s="3" t="s">
        <v>135</v>
      </c>
      <c r="E70" s="3" t="s">
        <v>135</v>
      </c>
      <c r="F70" s="3" t="s">
        <v>135</v>
      </c>
      <c r="G70" s="3" t="s">
        <v>135</v>
      </c>
      <c r="H70" s="20">
        <v>41705</v>
      </c>
      <c r="J70" s="3">
        <f t="shared" si="7"/>
        <v>11</v>
      </c>
      <c r="K70" s="3">
        <f t="shared" si="7"/>
        <v>11</v>
      </c>
      <c r="L70" s="3">
        <f t="shared" si="7"/>
        <v>11</v>
      </c>
      <c r="M70" s="3">
        <f t="shared" si="7"/>
        <v>11</v>
      </c>
      <c r="P70" s="14" t="s">
        <v>85</v>
      </c>
      <c r="Q70" s="10" t="str">
        <f t="shared" si="8"/>
        <v xml:space="preserve">ENERGISA    -UNT </v>
      </c>
      <c r="R70" s="51">
        <f t="shared" si="9"/>
        <v>41705</v>
      </c>
      <c r="S70" s="5">
        <f t="shared" si="10"/>
        <v>11</v>
      </c>
      <c r="T70" s="5">
        <f t="shared" si="11"/>
        <v>11</v>
      </c>
      <c r="U70" s="5">
        <f t="shared" si="12"/>
        <v>11</v>
      </c>
      <c r="V70" s="5">
        <f t="shared" si="13"/>
        <v>11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1490</v>
      </c>
      <c r="D71" s="3" t="s">
        <v>917</v>
      </c>
      <c r="E71" s="3" t="s">
        <v>917</v>
      </c>
      <c r="F71" s="3" t="s">
        <v>917</v>
      </c>
      <c r="G71" s="3" t="s">
        <v>917</v>
      </c>
      <c r="H71" s="20">
        <v>41705</v>
      </c>
      <c r="J71" s="3">
        <f t="shared" si="7"/>
        <v>2.75</v>
      </c>
      <c r="K71" s="3">
        <f t="shared" si="7"/>
        <v>2.75</v>
      </c>
      <c r="L71" s="3">
        <f t="shared" si="7"/>
        <v>2.75</v>
      </c>
      <c r="M71" s="3">
        <f t="shared" si="7"/>
        <v>2.75</v>
      </c>
      <c r="P71" s="14" t="s">
        <v>167</v>
      </c>
      <c r="Q71" s="10" t="str">
        <f t="shared" ref="Q71:Q102" si="14">IF(A71="","",C71)</f>
        <v xml:space="preserve">ENERGISA    -ON  </v>
      </c>
      <c r="R71" s="51">
        <f t="shared" ref="R71:R102" si="15">IF(A71="","",H71)</f>
        <v>41705</v>
      </c>
      <c r="S71" s="5">
        <f t="shared" ref="S71:S102" si="16">J71</f>
        <v>2.75</v>
      </c>
      <c r="T71" s="5">
        <f t="shared" ref="T71:T102" si="17">K71</f>
        <v>2.75</v>
      </c>
      <c r="U71" s="5">
        <f t="shared" ref="U71:U102" si="18">L71</f>
        <v>2.75</v>
      </c>
      <c r="V71" s="5">
        <f t="shared" ref="V71:V102" si="19">M71</f>
        <v>2.75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1491</v>
      </c>
      <c r="D72" s="3" t="s">
        <v>1621</v>
      </c>
      <c r="E72" s="3" t="s">
        <v>1115</v>
      </c>
      <c r="F72" s="3" t="s">
        <v>1115</v>
      </c>
      <c r="G72" s="3" t="s">
        <v>1621</v>
      </c>
      <c r="H72" s="20">
        <v>41705</v>
      </c>
      <c r="J72" s="3">
        <f t="shared" ref="J72:M135" si="20">IF($A72="",0,VALUE(CONCATENATE(LEFT(D72,LEN(D72)-3),",",RIGHT(D72,2))))</f>
        <v>1.9</v>
      </c>
      <c r="K72" s="3">
        <f t="shared" si="20"/>
        <v>1.95</v>
      </c>
      <c r="L72" s="3">
        <f t="shared" si="20"/>
        <v>1.95</v>
      </c>
      <c r="M72" s="3">
        <f t="shared" si="20"/>
        <v>1.9</v>
      </c>
      <c r="P72" s="14" t="s">
        <v>64</v>
      </c>
      <c r="Q72" s="10" t="str">
        <f t="shared" si="14"/>
        <v xml:space="preserve">ENERGISA    -PN  </v>
      </c>
      <c r="R72" s="46">
        <f t="shared" si="15"/>
        <v>41705</v>
      </c>
      <c r="S72" s="6">
        <f t="shared" si="16"/>
        <v>1.9</v>
      </c>
      <c r="T72" s="6">
        <f t="shared" si="17"/>
        <v>1.95</v>
      </c>
      <c r="U72" s="5">
        <f t="shared" si="18"/>
        <v>1.95</v>
      </c>
      <c r="V72" s="5">
        <f t="shared" si="19"/>
        <v>1.9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137</v>
      </c>
      <c r="D73" s="3" t="s">
        <v>1368</v>
      </c>
      <c r="E73" s="3" t="s">
        <v>1368</v>
      </c>
      <c r="F73" s="3" t="s">
        <v>1368</v>
      </c>
      <c r="G73" s="3" t="s">
        <v>1368</v>
      </c>
      <c r="H73" s="20">
        <v>41705</v>
      </c>
      <c r="J73" s="3">
        <f t="shared" si="20"/>
        <v>15.5</v>
      </c>
      <c r="K73" s="3">
        <f t="shared" si="20"/>
        <v>15.5</v>
      </c>
      <c r="L73" s="3">
        <f t="shared" si="20"/>
        <v>15.5</v>
      </c>
      <c r="M73" s="3">
        <f t="shared" si="20"/>
        <v>15.5</v>
      </c>
      <c r="P73" s="14" t="s">
        <v>94</v>
      </c>
      <c r="Q73" s="10" t="str">
        <f t="shared" si="14"/>
        <v xml:space="preserve">CEMAR       -ON  </v>
      </c>
      <c r="R73" s="51">
        <f t="shared" si="15"/>
        <v>41705</v>
      </c>
      <c r="S73" s="5">
        <f t="shared" si="16"/>
        <v>15.5</v>
      </c>
      <c r="T73" s="5">
        <f t="shared" si="17"/>
        <v>15.5</v>
      </c>
      <c r="U73" s="5">
        <f t="shared" si="18"/>
        <v>15.5</v>
      </c>
      <c r="V73" s="5">
        <f t="shared" si="19"/>
        <v>15.5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138</v>
      </c>
      <c r="D74" s="3" t="s">
        <v>1622</v>
      </c>
      <c r="E74" s="3" t="s">
        <v>228</v>
      </c>
      <c r="F74" s="3" t="s">
        <v>1623</v>
      </c>
      <c r="G74" s="3" t="s">
        <v>1624</v>
      </c>
      <c r="H74" s="20">
        <v>41705</v>
      </c>
      <c r="J74" s="3">
        <f t="shared" si="20"/>
        <v>19.71</v>
      </c>
      <c r="K74" s="3">
        <f t="shared" si="20"/>
        <v>19</v>
      </c>
      <c r="L74" s="3">
        <f t="shared" si="20"/>
        <v>19.75</v>
      </c>
      <c r="M74" s="3">
        <f t="shared" si="20"/>
        <v>18.88</v>
      </c>
      <c r="P74" s="26" t="s">
        <v>35</v>
      </c>
      <c r="Q74" s="10" t="str">
        <f t="shared" si="14"/>
        <v xml:space="preserve">EQUATORIAL  -ON  </v>
      </c>
      <c r="R74" s="51">
        <f t="shared" si="15"/>
        <v>41705</v>
      </c>
      <c r="S74" s="5">
        <f t="shared" si="16"/>
        <v>19.71</v>
      </c>
      <c r="T74" s="5">
        <f t="shared" si="17"/>
        <v>19</v>
      </c>
      <c r="U74" s="5">
        <f t="shared" si="18"/>
        <v>19.75</v>
      </c>
      <c r="V74" s="5">
        <f t="shared" si="19"/>
        <v>18.88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231</v>
      </c>
      <c r="D75" s="3" t="s">
        <v>426</v>
      </c>
      <c r="E75" s="3" t="s">
        <v>228</v>
      </c>
      <c r="F75" s="3" t="s">
        <v>228</v>
      </c>
      <c r="G75" s="3" t="s">
        <v>228</v>
      </c>
      <c r="H75" s="20">
        <v>41705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229</v>
      </c>
      <c r="Q75" s="10" t="str">
        <f t="shared" si="14"/>
        <v xml:space="preserve">FERBASA     -ON  </v>
      </c>
      <c r="R75" s="51">
        <f t="shared" si="15"/>
        <v>41705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230</v>
      </c>
      <c r="D76" s="3" t="s">
        <v>1625</v>
      </c>
      <c r="E76" s="3" t="s">
        <v>1456</v>
      </c>
      <c r="F76" s="3" t="s">
        <v>1456</v>
      </c>
      <c r="G76" s="3" t="s">
        <v>1626</v>
      </c>
      <c r="H76" s="20">
        <v>41705</v>
      </c>
      <c r="J76" s="3">
        <f t="shared" si="20"/>
        <v>11.85</v>
      </c>
      <c r="K76" s="3">
        <f t="shared" si="20"/>
        <v>12.1</v>
      </c>
      <c r="L76" s="3">
        <f t="shared" si="20"/>
        <v>12.1</v>
      </c>
      <c r="M76" s="3">
        <f t="shared" si="20"/>
        <v>11.83</v>
      </c>
      <c r="P76" s="15" t="s">
        <v>79</v>
      </c>
      <c r="Q76" s="10" t="str">
        <f t="shared" si="14"/>
        <v xml:space="preserve">FERBASA     -PN  </v>
      </c>
      <c r="R76" s="51">
        <f t="shared" si="15"/>
        <v>41705</v>
      </c>
      <c r="S76" s="5">
        <f t="shared" si="16"/>
        <v>11.85</v>
      </c>
      <c r="T76" s="5">
        <f t="shared" si="17"/>
        <v>12.1</v>
      </c>
      <c r="U76" s="5">
        <f t="shared" si="18"/>
        <v>12.1</v>
      </c>
      <c r="V76" s="5">
        <f t="shared" si="19"/>
        <v>11.83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334</v>
      </c>
      <c r="D77" s="3" t="s">
        <v>426</v>
      </c>
      <c r="E77" s="3" t="s">
        <v>160</v>
      </c>
      <c r="F77" s="3" t="s">
        <v>160</v>
      </c>
      <c r="G77" s="3" t="s">
        <v>160</v>
      </c>
      <c r="H77" s="20">
        <v>41705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159</v>
      </c>
      <c r="Q77" s="10" t="str">
        <f t="shared" si="14"/>
        <v>GER PARANAP -ON</v>
      </c>
      <c r="R77" s="51">
        <f t="shared" si="15"/>
        <v>41705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335</v>
      </c>
      <c r="D78" s="3" t="s">
        <v>1627</v>
      </c>
      <c r="E78" s="3" t="s">
        <v>1627</v>
      </c>
      <c r="F78" s="3" t="s">
        <v>1627</v>
      </c>
      <c r="G78" s="3" t="s">
        <v>1627</v>
      </c>
      <c r="H78" s="20">
        <v>41705</v>
      </c>
      <c r="J78" s="3">
        <f t="shared" si="20"/>
        <v>57.99</v>
      </c>
      <c r="K78" s="3">
        <f t="shared" si="20"/>
        <v>57.99</v>
      </c>
      <c r="L78" s="3">
        <f t="shared" si="20"/>
        <v>57.99</v>
      </c>
      <c r="M78" s="3">
        <f t="shared" si="20"/>
        <v>57.99</v>
      </c>
      <c r="P78" s="26" t="s">
        <v>38</v>
      </c>
      <c r="Q78" s="10" t="str">
        <f t="shared" si="14"/>
        <v>GER PARANAP -PN</v>
      </c>
      <c r="R78" s="51">
        <f t="shared" si="15"/>
        <v>41705</v>
      </c>
      <c r="S78" s="5">
        <f t="shared" si="16"/>
        <v>57.99</v>
      </c>
      <c r="T78" s="5">
        <f t="shared" si="17"/>
        <v>57.99</v>
      </c>
      <c r="U78" s="5">
        <f t="shared" si="18"/>
        <v>57.99</v>
      </c>
      <c r="V78" s="5">
        <f t="shared" si="19"/>
        <v>57.99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139</v>
      </c>
      <c r="D79" s="3" t="s">
        <v>1628</v>
      </c>
      <c r="E79" s="3" t="s">
        <v>1629</v>
      </c>
      <c r="F79" s="3" t="s">
        <v>1630</v>
      </c>
      <c r="G79" s="3" t="s">
        <v>1631</v>
      </c>
      <c r="H79" s="20">
        <v>41705</v>
      </c>
      <c r="J79" s="3">
        <f t="shared" si="20"/>
        <v>15.01</v>
      </c>
      <c r="K79" s="3">
        <f t="shared" si="20"/>
        <v>14.85</v>
      </c>
      <c r="L79" s="3">
        <f t="shared" si="20"/>
        <v>15.13</v>
      </c>
      <c r="M79" s="3">
        <f t="shared" si="20"/>
        <v>14.83</v>
      </c>
      <c r="P79" s="26" t="s">
        <v>29</v>
      </c>
      <c r="Q79" s="10" t="str">
        <f t="shared" si="14"/>
        <v>AES TIETE   -ON</v>
      </c>
      <c r="R79" s="51">
        <f t="shared" si="15"/>
        <v>41705</v>
      </c>
      <c r="S79" s="5">
        <f t="shared" si="16"/>
        <v>15.01</v>
      </c>
      <c r="T79" s="5">
        <f t="shared" si="17"/>
        <v>14.85</v>
      </c>
      <c r="U79" s="5">
        <f t="shared" si="18"/>
        <v>15.13</v>
      </c>
      <c r="V79" s="5">
        <f t="shared" si="19"/>
        <v>14.83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140</v>
      </c>
      <c r="D80" s="3" t="s">
        <v>1632</v>
      </c>
      <c r="E80" s="3" t="s">
        <v>1633</v>
      </c>
      <c r="F80" s="3" t="s">
        <v>1519</v>
      </c>
      <c r="G80" s="3" t="s">
        <v>1634</v>
      </c>
      <c r="H80" s="20">
        <v>41705</v>
      </c>
      <c r="J80" s="3">
        <f t="shared" si="20"/>
        <v>17.57</v>
      </c>
      <c r="K80" s="3">
        <f t="shared" si="20"/>
        <v>17.489999999999998</v>
      </c>
      <c r="L80" s="3">
        <f t="shared" si="20"/>
        <v>17.760000000000002</v>
      </c>
      <c r="M80" s="3">
        <f t="shared" si="20"/>
        <v>17.39</v>
      </c>
      <c r="P80" s="26" t="s">
        <v>33</v>
      </c>
      <c r="Q80" s="10" t="str">
        <f t="shared" si="14"/>
        <v>AES TIETE   -PN</v>
      </c>
      <c r="R80" s="51">
        <f t="shared" si="15"/>
        <v>41705</v>
      </c>
      <c r="S80" s="5">
        <f t="shared" si="16"/>
        <v>17.57</v>
      </c>
      <c r="T80" s="5">
        <f t="shared" si="17"/>
        <v>17.489999999999998</v>
      </c>
      <c r="U80" s="5">
        <f t="shared" si="18"/>
        <v>17.760000000000002</v>
      </c>
      <c r="V80" s="5">
        <f t="shared" si="19"/>
        <v>17.39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170</v>
      </c>
      <c r="D81" s="3" t="s">
        <v>758</v>
      </c>
      <c r="E81" s="3" t="s">
        <v>1635</v>
      </c>
      <c r="F81" s="3" t="s">
        <v>758</v>
      </c>
      <c r="G81" s="3" t="s">
        <v>1635</v>
      </c>
      <c r="H81" s="20">
        <v>41705</v>
      </c>
      <c r="J81" s="3">
        <f t="shared" si="20"/>
        <v>0.1</v>
      </c>
      <c r="K81" s="3">
        <f t="shared" si="20"/>
        <v>0.09</v>
      </c>
      <c r="L81" s="3">
        <f t="shared" si="20"/>
        <v>0.1</v>
      </c>
      <c r="M81" s="3">
        <f t="shared" si="20"/>
        <v>0.09</v>
      </c>
      <c r="P81" s="14" t="s">
        <v>168</v>
      </c>
      <c r="Q81" s="10" t="str">
        <f t="shared" si="14"/>
        <v xml:space="preserve">GTD PART    -ON  </v>
      </c>
      <c r="R81" s="51">
        <f t="shared" si="15"/>
        <v>41705</v>
      </c>
      <c r="S81" s="5">
        <f t="shared" si="16"/>
        <v>0.1</v>
      </c>
      <c r="T81" s="5">
        <f t="shared" si="17"/>
        <v>0.09</v>
      </c>
      <c r="U81" s="5">
        <f t="shared" si="18"/>
        <v>0.1</v>
      </c>
      <c r="V81" s="5">
        <f t="shared" si="19"/>
        <v>0.09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171</v>
      </c>
      <c r="D82" s="3" t="s">
        <v>758</v>
      </c>
      <c r="E82" s="3" t="s">
        <v>1635</v>
      </c>
      <c r="F82" s="3" t="s">
        <v>758</v>
      </c>
      <c r="G82" s="3" t="s">
        <v>1635</v>
      </c>
      <c r="H82" s="20">
        <v>41705</v>
      </c>
      <c r="J82" s="3">
        <f t="shared" si="20"/>
        <v>0.1</v>
      </c>
      <c r="K82" s="3">
        <f t="shared" si="20"/>
        <v>0.09</v>
      </c>
      <c r="L82" s="3">
        <f t="shared" si="20"/>
        <v>0.1</v>
      </c>
      <c r="M82" s="3">
        <f t="shared" si="20"/>
        <v>0.09</v>
      </c>
      <c r="P82" s="14" t="s">
        <v>169</v>
      </c>
      <c r="Q82" s="10" t="str">
        <f t="shared" si="14"/>
        <v xml:space="preserve">GTD PART    -PN  </v>
      </c>
      <c r="R82" s="51">
        <f t="shared" si="15"/>
        <v>41705</v>
      </c>
      <c r="S82" s="5">
        <f t="shared" si="16"/>
        <v>0.1</v>
      </c>
      <c r="T82" s="5">
        <f t="shared" si="17"/>
        <v>0.09</v>
      </c>
      <c r="U82" s="5">
        <f t="shared" si="18"/>
        <v>0.1</v>
      </c>
      <c r="V82" s="5">
        <f t="shared" si="19"/>
        <v>0.09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225</v>
      </c>
      <c r="D83" s="3" t="s">
        <v>1636</v>
      </c>
      <c r="E83" s="3" t="s">
        <v>1344</v>
      </c>
      <c r="F83" s="3" t="s">
        <v>1637</v>
      </c>
      <c r="G83" s="3" t="s">
        <v>1354</v>
      </c>
      <c r="H83" s="20">
        <v>41705</v>
      </c>
      <c r="J83" s="3">
        <f t="shared" si="20"/>
        <v>9.06</v>
      </c>
      <c r="K83" s="3">
        <f t="shared" si="20"/>
        <v>9.1</v>
      </c>
      <c r="L83" s="3">
        <f t="shared" si="20"/>
        <v>9.1999999999999993</v>
      </c>
      <c r="M83" s="3">
        <f t="shared" si="20"/>
        <v>9.0299999999999994</v>
      </c>
      <c r="P83" s="15" t="s">
        <v>224</v>
      </c>
      <c r="Q83" s="10" t="str">
        <f t="shared" si="14"/>
        <v xml:space="preserve">ITAUSA      -ON  </v>
      </c>
      <c r="R83" s="51">
        <f t="shared" si="15"/>
        <v>41705</v>
      </c>
      <c r="S83" s="5">
        <f t="shared" si="16"/>
        <v>9.06</v>
      </c>
      <c r="T83" s="5">
        <f t="shared" si="17"/>
        <v>9.1</v>
      </c>
      <c r="U83" s="5">
        <f t="shared" si="18"/>
        <v>9.1999999999999993</v>
      </c>
      <c r="V83" s="5">
        <f t="shared" si="19"/>
        <v>9.0299999999999994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141</v>
      </c>
      <c r="D84" s="3" t="s">
        <v>1409</v>
      </c>
      <c r="E84" s="3" t="s">
        <v>1383</v>
      </c>
      <c r="F84" s="3" t="s">
        <v>1638</v>
      </c>
      <c r="G84" s="3" t="s">
        <v>1353</v>
      </c>
      <c r="H84" s="45">
        <v>41705</v>
      </c>
      <c r="J84" s="3">
        <f t="shared" si="20"/>
        <v>8.44</v>
      </c>
      <c r="K84" s="3">
        <f t="shared" si="20"/>
        <v>8.32</v>
      </c>
      <c r="L84" s="3">
        <f t="shared" si="20"/>
        <v>8.52</v>
      </c>
      <c r="M84" s="3">
        <f t="shared" si="20"/>
        <v>8.3000000000000007</v>
      </c>
      <c r="P84" s="15" t="s">
        <v>16</v>
      </c>
      <c r="Q84" s="10" t="str">
        <f t="shared" si="14"/>
        <v xml:space="preserve">ITAUSA      -PN  </v>
      </c>
      <c r="R84" s="51">
        <f t="shared" si="15"/>
        <v>41705</v>
      </c>
      <c r="S84" s="5">
        <f t="shared" si="16"/>
        <v>8.44</v>
      </c>
      <c r="T84" s="5">
        <f t="shared" si="17"/>
        <v>8.32</v>
      </c>
      <c r="U84" s="5">
        <f t="shared" si="18"/>
        <v>8.52</v>
      </c>
      <c r="V84" s="5">
        <f t="shared" si="19"/>
        <v>8.3000000000000007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223</v>
      </c>
      <c r="D85" s="3" t="s">
        <v>1639</v>
      </c>
      <c r="E85" s="3" t="s">
        <v>1509</v>
      </c>
      <c r="F85" s="3" t="s">
        <v>1640</v>
      </c>
      <c r="G85" s="3" t="s">
        <v>1641</v>
      </c>
      <c r="H85" s="45">
        <v>41705</v>
      </c>
      <c r="J85" s="3">
        <f t="shared" si="20"/>
        <v>29.83</v>
      </c>
      <c r="K85" s="3">
        <f t="shared" si="20"/>
        <v>29.52</v>
      </c>
      <c r="L85" s="3">
        <f t="shared" si="20"/>
        <v>30.14</v>
      </c>
      <c r="M85" s="3">
        <f t="shared" si="20"/>
        <v>29.51</v>
      </c>
      <c r="P85" s="10" t="s">
        <v>222</v>
      </c>
      <c r="Q85" s="10" t="str">
        <f t="shared" si="14"/>
        <v xml:space="preserve">ITAUUNIBANCO-ON  </v>
      </c>
      <c r="R85" s="51">
        <f t="shared" si="15"/>
        <v>41705</v>
      </c>
      <c r="S85" s="5">
        <f t="shared" si="16"/>
        <v>29.83</v>
      </c>
      <c r="T85" s="5">
        <f t="shared" si="17"/>
        <v>29.52</v>
      </c>
      <c r="U85" s="5">
        <f t="shared" si="18"/>
        <v>30.14</v>
      </c>
      <c r="V85" s="5">
        <f t="shared" si="19"/>
        <v>29.51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142</v>
      </c>
      <c r="D86" s="3" t="s">
        <v>1642</v>
      </c>
      <c r="E86" s="3" t="s">
        <v>1643</v>
      </c>
      <c r="F86" s="3" t="s">
        <v>1605</v>
      </c>
      <c r="G86" s="3" t="s">
        <v>1644</v>
      </c>
      <c r="H86" s="45">
        <v>41705</v>
      </c>
      <c r="J86" s="3">
        <f t="shared" si="20"/>
        <v>31.36</v>
      </c>
      <c r="K86" s="3">
        <f t="shared" si="20"/>
        <v>31.03</v>
      </c>
      <c r="L86" s="3">
        <f t="shared" si="20"/>
        <v>31.76</v>
      </c>
      <c r="M86" s="3">
        <f t="shared" si="20"/>
        <v>31</v>
      </c>
      <c r="P86" s="10" t="s">
        <v>80</v>
      </c>
      <c r="Q86" s="10" t="str">
        <f t="shared" si="14"/>
        <v xml:space="preserve">ITAUUNIBANCO-PN  </v>
      </c>
      <c r="R86" s="51">
        <f t="shared" si="15"/>
        <v>41705</v>
      </c>
      <c r="S86" s="5">
        <f t="shared" si="16"/>
        <v>31.36</v>
      </c>
      <c r="T86" s="5">
        <f t="shared" si="17"/>
        <v>31.03</v>
      </c>
      <c r="U86" s="5">
        <f t="shared" si="18"/>
        <v>31.76</v>
      </c>
      <c r="V86" s="5">
        <f t="shared" si="19"/>
        <v>31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183</v>
      </c>
      <c r="D87" s="3" t="s">
        <v>426</v>
      </c>
      <c r="E87" s="3" t="s">
        <v>759</v>
      </c>
      <c r="F87" s="3" t="s">
        <v>759</v>
      </c>
      <c r="G87" s="3" t="s">
        <v>759</v>
      </c>
      <c r="H87" s="45">
        <v>41705</v>
      </c>
      <c r="J87" s="3" t="e">
        <f t="shared" si="20"/>
        <v>#VALUE!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182</v>
      </c>
      <c r="Q87" s="10" t="str">
        <f t="shared" si="14"/>
        <v xml:space="preserve">KLABIN S/A  -ON  </v>
      </c>
      <c r="R87" s="51">
        <f t="shared" si="15"/>
        <v>41705</v>
      </c>
      <c r="S87" s="5" t="e">
        <f t="shared" si="16"/>
        <v>#VALUE!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143</v>
      </c>
      <c r="D88" s="3" t="s">
        <v>1645</v>
      </c>
      <c r="E88" s="3" t="s">
        <v>1646</v>
      </c>
      <c r="F88" s="3" t="s">
        <v>1366</v>
      </c>
      <c r="G88" s="3" t="s">
        <v>595</v>
      </c>
      <c r="H88" s="45">
        <v>41705</v>
      </c>
      <c r="J88" s="3">
        <f t="shared" si="20"/>
        <v>11.25</v>
      </c>
      <c r="K88" s="3">
        <f t="shared" si="20"/>
        <v>11.17</v>
      </c>
      <c r="L88" s="3">
        <f t="shared" si="20"/>
        <v>11.31</v>
      </c>
      <c r="M88" s="3">
        <f t="shared" si="20"/>
        <v>11.13</v>
      </c>
      <c r="P88" s="15" t="s">
        <v>54</v>
      </c>
      <c r="Q88" s="10" t="str">
        <f t="shared" si="14"/>
        <v xml:space="preserve">KLABIN S/A  -PN  </v>
      </c>
      <c r="R88" s="51">
        <f t="shared" si="15"/>
        <v>41705</v>
      </c>
      <c r="S88" s="5">
        <f t="shared" si="16"/>
        <v>11.25</v>
      </c>
      <c r="T88" s="5">
        <f t="shared" si="17"/>
        <v>11.17</v>
      </c>
      <c r="U88" s="5">
        <f t="shared" si="18"/>
        <v>11.31</v>
      </c>
      <c r="V88" s="5">
        <f t="shared" si="19"/>
        <v>11.13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144</v>
      </c>
      <c r="D89" s="3" t="s">
        <v>1647</v>
      </c>
      <c r="E89" s="3" t="s">
        <v>1387</v>
      </c>
      <c r="F89" s="3" t="s">
        <v>1648</v>
      </c>
      <c r="G89" s="3" t="s">
        <v>1474</v>
      </c>
      <c r="H89" s="45">
        <v>41705</v>
      </c>
      <c r="J89" s="3">
        <f t="shared" si="20"/>
        <v>16.89</v>
      </c>
      <c r="K89" s="3">
        <f t="shared" si="20"/>
        <v>15.95</v>
      </c>
      <c r="L89" s="3">
        <f t="shared" si="20"/>
        <v>16.93</v>
      </c>
      <c r="M89" s="3">
        <f t="shared" si="20"/>
        <v>15.81</v>
      </c>
      <c r="P89" s="43" t="s">
        <v>55</v>
      </c>
      <c r="Q89" s="10" t="str">
        <f t="shared" si="14"/>
        <v xml:space="preserve">LIGHT S/A   -ON  </v>
      </c>
      <c r="R89" s="51">
        <f t="shared" si="15"/>
        <v>41705</v>
      </c>
      <c r="S89" s="5">
        <f t="shared" si="16"/>
        <v>16.89</v>
      </c>
      <c r="T89" s="5">
        <f t="shared" si="17"/>
        <v>15.95</v>
      </c>
      <c r="U89" s="5">
        <f t="shared" si="18"/>
        <v>16.93</v>
      </c>
      <c r="V89" s="5">
        <f t="shared" si="19"/>
        <v>15.81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162</v>
      </c>
      <c r="D90" s="3" t="s">
        <v>1339</v>
      </c>
      <c r="E90" s="3" t="s">
        <v>1340</v>
      </c>
      <c r="F90" s="3" t="s">
        <v>1339</v>
      </c>
      <c r="G90" s="3" t="s">
        <v>1341</v>
      </c>
      <c r="H90" s="45">
        <v>41705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161</v>
      </c>
      <c r="Q90" s="10" t="str">
        <f t="shared" si="14"/>
        <v>ELETROPAR   -ON</v>
      </c>
      <c r="R90" s="51">
        <f t="shared" si="15"/>
        <v>41705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145</v>
      </c>
      <c r="D91" s="3" t="s">
        <v>1551</v>
      </c>
      <c r="E91" s="61" t="s">
        <v>1026</v>
      </c>
      <c r="F91" s="61" t="s">
        <v>1649</v>
      </c>
      <c r="G91" s="3" t="s">
        <v>1436</v>
      </c>
      <c r="H91" s="45">
        <v>41705</v>
      </c>
      <c r="J91" s="3">
        <f t="shared" si="20"/>
        <v>7.4</v>
      </c>
      <c r="K91" s="3">
        <f t="shared" si="20"/>
        <v>7.5</v>
      </c>
      <c r="L91" s="3">
        <f t="shared" si="20"/>
        <v>7.72</v>
      </c>
      <c r="M91" s="3">
        <f t="shared" si="20"/>
        <v>7.39</v>
      </c>
      <c r="P91" s="10" t="s">
        <v>74</v>
      </c>
      <c r="Q91" s="10" t="str">
        <f t="shared" si="14"/>
        <v xml:space="preserve">PINE        -PN  </v>
      </c>
      <c r="R91" s="51">
        <f t="shared" si="15"/>
        <v>41705</v>
      </c>
      <c r="S91" s="5">
        <f t="shared" si="16"/>
        <v>7.4</v>
      </c>
      <c r="T91" s="5">
        <f t="shared" si="17"/>
        <v>7.5</v>
      </c>
      <c r="U91" s="5">
        <f t="shared" si="18"/>
        <v>7.72</v>
      </c>
      <c r="V91" s="5">
        <f t="shared" si="19"/>
        <v>7.39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146</v>
      </c>
      <c r="D92" s="3" t="s">
        <v>1324</v>
      </c>
      <c r="E92" s="3" t="s">
        <v>1650</v>
      </c>
      <c r="F92" s="3" t="s">
        <v>1650</v>
      </c>
      <c r="G92" s="3" t="s">
        <v>1324</v>
      </c>
      <c r="H92" s="45">
        <v>41705</v>
      </c>
      <c r="J92" s="3">
        <f t="shared" si="20"/>
        <v>10.5</v>
      </c>
      <c r="K92" s="3">
        <f t="shared" si="20"/>
        <v>10.51</v>
      </c>
      <c r="L92" s="3">
        <f t="shared" si="20"/>
        <v>10.51</v>
      </c>
      <c r="M92" s="3">
        <f t="shared" si="20"/>
        <v>10.5</v>
      </c>
      <c r="P92" s="16" t="s">
        <v>82</v>
      </c>
      <c r="Q92" s="10" t="str">
        <f t="shared" si="14"/>
        <v xml:space="preserve">PARANA      -PN  </v>
      </c>
      <c r="R92" s="51">
        <f t="shared" si="15"/>
        <v>41705</v>
      </c>
      <c r="S92" s="5">
        <f t="shared" si="16"/>
        <v>10.5</v>
      </c>
      <c r="T92" s="5">
        <f t="shared" si="17"/>
        <v>10.51</v>
      </c>
      <c r="U92" s="5">
        <f t="shared" si="18"/>
        <v>10.51</v>
      </c>
      <c r="V92" s="5">
        <f t="shared" si="19"/>
        <v>10.5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227</v>
      </c>
      <c r="D93" s="3" t="s">
        <v>1651</v>
      </c>
      <c r="E93" s="3" t="s">
        <v>1652</v>
      </c>
      <c r="F93" s="3" t="s">
        <v>1651</v>
      </c>
      <c r="G93" s="3" t="s">
        <v>1653</v>
      </c>
      <c r="H93" s="45">
        <v>41705</v>
      </c>
      <c r="J93" s="3">
        <f t="shared" si="20"/>
        <v>33.200000000000003</v>
      </c>
      <c r="K93" s="3">
        <f t="shared" si="20"/>
        <v>32.71</v>
      </c>
      <c r="L93" s="3">
        <f t="shared" si="20"/>
        <v>33.200000000000003</v>
      </c>
      <c r="M93" s="3">
        <f t="shared" si="20"/>
        <v>32.700000000000003</v>
      </c>
      <c r="P93" s="16" t="s">
        <v>226</v>
      </c>
      <c r="Q93" s="10" t="str">
        <f t="shared" si="14"/>
        <v xml:space="preserve">PORTO SEGURO-ON  </v>
      </c>
      <c r="R93" s="51">
        <f t="shared" si="15"/>
        <v>41705</v>
      </c>
      <c r="S93" s="5">
        <f t="shared" si="16"/>
        <v>33.200000000000003</v>
      </c>
      <c r="T93" s="5">
        <f t="shared" si="17"/>
        <v>32.71</v>
      </c>
      <c r="U93" s="5">
        <f t="shared" si="18"/>
        <v>33.200000000000003</v>
      </c>
      <c r="V93" s="5">
        <f t="shared" si="19"/>
        <v>32.700000000000003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921</v>
      </c>
      <c r="D94" s="3" t="s">
        <v>1538</v>
      </c>
      <c r="E94" s="3" t="s">
        <v>1654</v>
      </c>
      <c r="F94" s="3" t="s">
        <v>1654</v>
      </c>
      <c r="G94" s="3" t="s">
        <v>1538</v>
      </c>
      <c r="H94" s="45">
        <v>41705</v>
      </c>
      <c r="J94" s="3">
        <f t="shared" si="20"/>
        <v>3.29</v>
      </c>
      <c r="K94" s="3">
        <f t="shared" si="20"/>
        <v>3.35</v>
      </c>
      <c r="L94" s="3">
        <f t="shared" si="20"/>
        <v>3.35</v>
      </c>
      <c r="M94" s="3">
        <f t="shared" si="20"/>
        <v>3.29</v>
      </c>
      <c r="P94" s="14" t="s">
        <v>180</v>
      </c>
      <c r="Q94" s="10" t="str">
        <f t="shared" si="14"/>
        <v>CELUL IRANI -ON</v>
      </c>
      <c r="R94" s="51">
        <f t="shared" si="15"/>
        <v>41705</v>
      </c>
      <c r="S94" s="5">
        <f t="shared" si="16"/>
        <v>3.29</v>
      </c>
      <c r="T94" s="5">
        <f t="shared" si="17"/>
        <v>3.35</v>
      </c>
      <c r="U94" s="5">
        <f t="shared" si="18"/>
        <v>3.35</v>
      </c>
      <c r="V94" s="5">
        <f t="shared" si="19"/>
        <v>3.29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922</v>
      </c>
      <c r="D95" s="3" t="s">
        <v>1385</v>
      </c>
      <c r="E95" s="3" t="s">
        <v>1385</v>
      </c>
      <c r="F95" s="3" t="s">
        <v>1385</v>
      </c>
      <c r="G95" s="3" t="s">
        <v>1385</v>
      </c>
      <c r="H95" s="45">
        <v>41705</v>
      </c>
      <c r="J95" s="3">
        <f t="shared" si="20"/>
        <v>3.58</v>
      </c>
      <c r="K95" s="3">
        <f t="shared" si="20"/>
        <v>3.58</v>
      </c>
      <c r="L95" s="3">
        <f t="shared" si="20"/>
        <v>3.58</v>
      </c>
      <c r="M95" s="3">
        <f t="shared" si="20"/>
        <v>3.58</v>
      </c>
      <c r="P95" s="14" t="s">
        <v>181</v>
      </c>
      <c r="Q95" s="10" t="str">
        <f t="shared" si="14"/>
        <v>CELUL IRANI -PN</v>
      </c>
      <c r="R95" s="51">
        <f t="shared" si="15"/>
        <v>41705</v>
      </c>
      <c r="S95" s="5">
        <f t="shared" si="16"/>
        <v>3.58</v>
      </c>
      <c r="T95" s="5">
        <f t="shared" si="17"/>
        <v>3.58</v>
      </c>
      <c r="U95" s="5">
        <f t="shared" si="18"/>
        <v>3.58</v>
      </c>
      <c r="V95" s="5">
        <f t="shared" si="19"/>
        <v>3.58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147</v>
      </c>
      <c r="D96" s="3" t="s">
        <v>1655</v>
      </c>
      <c r="E96" s="3" t="s">
        <v>1485</v>
      </c>
      <c r="F96" s="3" t="s">
        <v>1655</v>
      </c>
      <c r="G96" s="3" t="s">
        <v>1485</v>
      </c>
      <c r="H96" s="51">
        <v>41705</v>
      </c>
      <c r="J96" s="3">
        <f t="shared" si="20"/>
        <v>5.2</v>
      </c>
      <c r="K96" s="3">
        <f t="shared" si="20"/>
        <v>4.9000000000000004</v>
      </c>
      <c r="L96" s="3">
        <f t="shared" si="20"/>
        <v>5.2</v>
      </c>
      <c r="M96" s="3">
        <f t="shared" si="20"/>
        <v>4.9000000000000004</v>
      </c>
      <c r="P96" s="14" t="s">
        <v>65</v>
      </c>
      <c r="Q96" s="10" t="str">
        <f t="shared" si="14"/>
        <v>REDENTOR    -ON</v>
      </c>
      <c r="R96" s="51">
        <f t="shared" si="15"/>
        <v>41705</v>
      </c>
      <c r="S96" s="5">
        <f t="shared" si="16"/>
        <v>5.2</v>
      </c>
      <c r="T96" s="5">
        <f t="shared" si="17"/>
        <v>4.9000000000000004</v>
      </c>
      <c r="U96" s="5">
        <f t="shared" si="18"/>
        <v>5.2</v>
      </c>
      <c r="V96" s="5">
        <f t="shared" si="19"/>
        <v>4.9000000000000004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189</v>
      </c>
      <c r="D97" s="3" t="s">
        <v>1369</v>
      </c>
      <c r="E97" s="3" t="s">
        <v>1369</v>
      </c>
      <c r="F97" s="3" t="s">
        <v>1369</v>
      </c>
      <c r="G97" s="3" t="s">
        <v>1369</v>
      </c>
      <c r="H97" s="51">
        <v>41705</v>
      </c>
      <c r="J97" s="3">
        <f t="shared" si="20"/>
        <v>3.04</v>
      </c>
      <c r="K97" s="3">
        <f t="shared" si="20"/>
        <v>3.04</v>
      </c>
      <c r="L97" s="3">
        <f t="shared" si="20"/>
        <v>3.04</v>
      </c>
      <c r="M97" s="3">
        <f t="shared" si="20"/>
        <v>3.04</v>
      </c>
      <c r="P97" s="15" t="s">
        <v>187</v>
      </c>
      <c r="Q97" s="10" t="str">
        <f t="shared" si="14"/>
        <v>ALFA HOLDING-ON</v>
      </c>
      <c r="R97" s="51">
        <f t="shared" si="15"/>
        <v>41705</v>
      </c>
      <c r="S97" s="5">
        <f t="shared" si="16"/>
        <v>3.04</v>
      </c>
      <c r="T97" s="5">
        <f t="shared" si="17"/>
        <v>3.04</v>
      </c>
      <c r="U97" s="5">
        <f t="shared" si="18"/>
        <v>3.04</v>
      </c>
      <c r="V97" s="5">
        <f t="shared" si="19"/>
        <v>3.04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761</v>
      </c>
      <c r="D98" s="3" t="s">
        <v>1342</v>
      </c>
      <c r="E98" s="3" t="s">
        <v>1342</v>
      </c>
      <c r="F98" s="3" t="s">
        <v>1342</v>
      </c>
      <c r="G98" s="3" t="s">
        <v>1342</v>
      </c>
      <c r="H98" s="51">
        <v>41705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41705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190</v>
      </c>
      <c r="D99" s="3" t="s">
        <v>1370</v>
      </c>
      <c r="E99" s="3" t="s">
        <v>1371</v>
      </c>
      <c r="F99" s="3" t="s">
        <v>1371</v>
      </c>
      <c r="G99" s="3" t="s">
        <v>1370</v>
      </c>
      <c r="H99" s="51">
        <v>41705</v>
      </c>
      <c r="J99" s="3">
        <f t="shared" si="20"/>
        <v>2.29</v>
      </c>
      <c r="K99" s="3">
        <f t="shared" si="20"/>
        <v>2.33</v>
      </c>
      <c r="L99" s="3">
        <f t="shared" si="20"/>
        <v>2.33</v>
      </c>
      <c r="M99" s="3">
        <f t="shared" si="20"/>
        <v>2.29</v>
      </c>
      <c r="P99" s="15" t="s">
        <v>188</v>
      </c>
      <c r="Q99" s="10" t="str">
        <f t="shared" si="14"/>
        <v>ALFA HOLDING-PNB</v>
      </c>
      <c r="R99" s="51">
        <f t="shared" si="15"/>
        <v>41705</v>
      </c>
      <c r="S99" s="5">
        <f t="shared" si="16"/>
        <v>2.29</v>
      </c>
      <c r="T99" s="5">
        <f t="shared" si="17"/>
        <v>2.33</v>
      </c>
      <c r="U99" s="5">
        <f t="shared" si="18"/>
        <v>2.33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641</v>
      </c>
      <c r="D100" s="3" t="s">
        <v>426</v>
      </c>
      <c r="E100" s="3" t="s">
        <v>179</v>
      </c>
      <c r="F100" s="3" t="s">
        <v>179</v>
      </c>
      <c r="G100" s="3" t="s">
        <v>179</v>
      </c>
      <c r="H100" s="51">
        <v>41705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178</v>
      </c>
      <c r="Q100" s="10" t="str">
        <f t="shared" si="14"/>
        <v>SANEPAR     -ON</v>
      </c>
      <c r="R100" s="51">
        <f t="shared" si="15"/>
        <v>41705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642</v>
      </c>
      <c r="D101" s="3" t="s">
        <v>1656</v>
      </c>
      <c r="E101" s="3" t="s">
        <v>1367</v>
      </c>
      <c r="F101" s="3" t="s">
        <v>1656</v>
      </c>
      <c r="G101" s="3" t="s">
        <v>1367</v>
      </c>
      <c r="H101" s="51">
        <v>41705</v>
      </c>
      <c r="J101" s="3">
        <f t="shared" si="20"/>
        <v>5.99</v>
      </c>
      <c r="K101" s="3">
        <f t="shared" si="20"/>
        <v>5.72</v>
      </c>
      <c r="L101" s="3">
        <f t="shared" si="20"/>
        <v>5.99</v>
      </c>
      <c r="M101" s="3">
        <f t="shared" si="20"/>
        <v>5.72</v>
      </c>
      <c r="P101" s="14" t="s">
        <v>66</v>
      </c>
      <c r="Q101" s="10" t="str">
        <f t="shared" si="14"/>
        <v>SANEPAR     -PN</v>
      </c>
      <c r="R101" s="51">
        <f t="shared" si="15"/>
        <v>41705</v>
      </c>
      <c r="S101" s="5">
        <f t="shared" si="16"/>
        <v>5.99</v>
      </c>
      <c r="T101" s="5">
        <f t="shared" si="17"/>
        <v>5.72</v>
      </c>
      <c r="U101" s="5">
        <f t="shared" si="18"/>
        <v>5.99</v>
      </c>
      <c r="V101" s="5">
        <f t="shared" si="19"/>
        <v>5.72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148</v>
      </c>
      <c r="D102" s="3" t="s">
        <v>1443</v>
      </c>
      <c r="E102" s="3" t="s">
        <v>1657</v>
      </c>
      <c r="F102" s="3" t="s">
        <v>1658</v>
      </c>
      <c r="G102" s="3" t="s">
        <v>1659</v>
      </c>
      <c r="H102" s="51">
        <v>41705</v>
      </c>
      <c r="J102" s="3">
        <f t="shared" si="20"/>
        <v>21.3</v>
      </c>
      <c r="K102" s="3">
        <f t="shared" si="20"/>
        <v>20.94</v>
      </c>
      <c r="L102" s="3">
        <f t="shared" si="20"/>
        <v>21.51</v>
      </c>
      <c r="M102" s="3">
        <f t="shared" si="20"/>
        <v>20.84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41705</v>
      </c>
      <c r="S102" s="5">
        <f t="shared" si="16"/>
        <v>21.3</v>
      </c>
      <c r="T102" s="5">
        <f t="shared" si="17"/>
        <v>20.94</v>
      </c>
      <c r="U102" s="5">
        <f t="shared" si="18"/>
        <v>21.51</v>
      </c>
      <c r="V102" s="5">
        <f t="shared" si="19"/>
        <v>20.84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149</v>
      </c>
      <c r="D103" s="3" t="s">
        <v>1660</v>
      </c>
      <c r="E103" s="3" t="s">
        <v>1661</v>
      </c>
      <c r="F103" s="3" t="s">
        <v>1662</v>
      </c>
      <c r="G103" s="3" t="s">
        <v>1663</v>
      </c>
      <c r="H103" s="51">
        <v>41705</v>
      </c>
      <c r="J103" s="3">
        <f t="shared" si="20"/>
        <v>2.72</v>
      </c>
      <c r="K103" s="3">
        <f t="shared" si="20"/>
        <v>2.76</v>
      </c>
      <c r="L103" s="3">
        <f t="shared" si="20"/>
        <v>2.8</v>
      </c>
      <c r="M103" s="3">
        <f t="shared" si="20"/>
        <v>2.7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41705</v>
      </c>
      <c r="S103" s="5">
        <f t="shared" ref="S103:S112" si="23">J103</f>
        <v>2.72</v>
      </c>
      <c r="T103" s="5">
        <f t="shared" ref="T103:T112" si="24">K103</f>
        <v>2.76</v>
      </c>
      <c r="U103" s="5">
        <f t="shared" ref="U103:U112" si="25">L103</f>
        <v>2.8</v>
      </c>
      <c r="V103" s="5">
        <f t="shared" ref="V103:V112" si="26">M103</f>
        <v>2.7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150</v>
      </c>
      <c r="D104" s="3" t="s">
        <v>1398</v>
      </c>
      <c r="E104" s="3" t="s">
        <v>1664</v>
      </c>
      <c r="F104" s="3" t="s">
        <v>1349</v>
      </c>
      <c r="G104" s="3" t="s">
        <v>1665</v>
      </c>
      <c r="H104" s="51">
        <v>41705</v>
      </c>
      <c r="J104" s="3">
        <f t="shared" si="20"/>
        <v>8.9600000000000009</v>
      </c>
      <c r="K104" s="3">
        <f t="shared" si="20"/>
        <v>8.73</v>
      </c>
      <c r="L104" s="3">
        <f t="shared" si="20"/>
        <v>9.02</v>
      </c>
      <c r="M104" s="3">
        <f t="shared" si="20"/>
        <v>8.7100000000000009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41705</v>
      </c>
      <c r="S104" s="5">
        <f t="shared" si="23"/>
        <v>8.9600000000000009</v>
      </c>
      <c r="T104" s="5">
        <f t="shared" si="24"/>
        <v>8.73</v>
      </c>
      <c r="U104" s="5">
        <f t="shared" si="25"/>
        <v>9.02</v>
      </c>
      <c r="V104" s="5">
        <f t="shared" si="26"/>
        <v>8.7100000000000009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186</v>
      </c>
      <c r="D105" s="3" t="s">
        <v>426</v>
      </c>
      <c r="E105" s="3" t="s">
        <v>1251</v>
      </c>
      <c r="F105" s="3" t="s">
        <v>1251</v>
      </c>
      <c r="G105" s="3" t="s">
        <v>1251</v>
      </c>
      <c r="H105" s="51">
        <v>41705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184</v>
      </c>
      <c r="Q105" s="10" t="str">
        <f t="shared" si="21"/>
        <v xml:space="preserve">SUZANO PAPEL-PNB </v>
      </c>
      <c r="R105" s="51">
        <f t="shared" si="22"/>
        <v>41705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151</v>
      </c>
      <c r="D106" s="3" t="s">
        <v>1666</v>
      </c>
      <c r="E106" s="3" t="s">
        <v>1500</v>
      </c>
      <c r="F106" s="3" t="s">
        <v>1468</v>
      </c>
      <c r="G106" s="3" t="s">
        <v>1667</v>
      </c>
      <c r="H106" s="51">
        <v>41705</v>
      </c>
      <c r="J106" s="3">
        <f t="shared" si="20"/>
        <v>18.34</v>
      </c>
      <c r="K106" s="3">
        <f t="shared" si="20"/>
        <v>18.2</v>
      </c>
      <c r="L106" s="3">
        <f t="shared" si="20"/>
        <v>18.39</v>
      </c>
      <c r="M106" s="3">
        <f t="shared" si="20"/>
        <v>18.11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41705</v>
      </c>
      <c r="S106" s="5">
        <f t="shared" si="23"/>
        <v>18.34</v>
      </c>
      <c r="T106" s="5">
        <f t="shared" si="24"/>
        <v>18.2</v>
      </c>
      <c r="U106" s="5">
        <f t="shared" si="25"/>
        <v>18.39</v>
      </c>
      <c r="V106" s="5">
        <f t="shared" si="26"/>
        <v>18.11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173</v>
      </c>
      <c r="D107" s="3" t="s">
        <v>1501</v>
      </c>
      <c r="E107" s="3" t="s">
        <v>1668</v>
      </c>
      <c r="F107" s="3" t="s">
        <v>1669</v>
      </c>
      <c r="G107" s="3" t="s">
        <v>1670</v>
      </c>
      <c r="H107" s="51">
        <v>41705</v>
      </c>
      <c r="J107" s="3">
        <f t="shared" si="20"/>
        <v>33.15</v>
      </c>
      <c r="K107" s="3">
        <f t="shared" si="20"/>
        <v>32.159999999999997</v>
      </c>
      <c r="L107" s="3">
        <f t="shared" si="20"/>
        <v>33.32</v>
      </c>
      <c r="M107" s="3">
        <f t="shared" si="20"/>
        <v>32.08</v>
      </c>
      <c r="P107" s="14" t="s">
        <v>172</v>
      </c>
      <c r="Q107" s="10" t="str">
        <f t="shared" si="21"/>
        <v xml:space="preserve">TRACTEBEL   -ON  </v>
      </c>
      <c r="R107" s="51">
        <f t="shared" si="22"/>
        <v>41705</v>
      </c>
      <c r="S107" s="5">
        <f t="shared" si="23"/>
        <v>33.15</v>
      </c>
      <c r="T107" s="5">
        <f t="shared" si="24"/>
        <v>32.159999999999997</v>
      </c>
      <c r="U107" s="5">
        <f t="shared" si="25"/>
        <v>33.32</v>
      </c>
      <c r="V107" s="5">
        <f t="shared" si="26"/>
        <v>32.08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157</v>
      </c>
      <c r="D108" s="3" t="s">
        <v>1413</v>
      </c>
      <c r="E108" s="3" t="s">
        <v>1413</v>
      </c>
      <c r="F108" s="3" t="s">
        <v>1413</v>
      </c>
      <c r="G108" s="3" t="s">
        <v>1413</v>
      </c>
      <c r="H108" s="51">
        <v>41705</v>
      </c>
      <c r="J108" s="3">
        <f t="shared" si="20"/>
        <v>45.79</v>
      </c>
      <c r="K108" s="3">
        <f t="shared" si="20"/>
        <v>45.79</v>
      </c>
      <c r="L108" s="3">
        <f t="shared" si="20"/>
        <v>45.79</v>
      </c>
      <c r="M108" s="3">
        <f t="shared" si="20"/>
        <v>45.79</v>
      </c>
      <c r="P108" s="14" t="s">
        <v>154</v>
      </c>
      <c r="Q108" s="10" t="str">
        <f t="shared" si="21"/>
        <v xml:space="preserve">TRAN PAULIST-ON  </v>
      </c>
      <c r="R108" s="51">
        <f t="shared" si="22"/>
        <v>41705</v>
      </c>
      <c r="S108" s="5">
        <f t="shared" si="23"/>
        <v>45.79</v>
      </c>
      <c r="T108" s="5">
        <f t="shared" si="24"/>
        <v>45.79</v>
      </c>
      <c r="U108" s="5">
        <f t="shared" si="25"/>
        <v>45.79</v>
      </c>
      <c r="V108" s="5">
        <f t="shared" si="26"/>
        <v>45.79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158</v>
      </c>
      <c r="D109" s="3" t="s">
        <v>1480</v>
      </c>
      <c r="E109" s="3" t="s">
        <v>1671</v>
      </c>
      <c r="F109" s="3" t="s">
        <v>1480</v>
      </c>
      <c r="G109" s="3" t="s">
        <v>1672</v>
      </c>
      <c r="H109" s="51">
        <v>41705</v>
      </c>
      <c r="J109" s="3">
        <f t="shared" si="20"/>
        <v>25.01</v>
      </c>
      <c r="K109" s="3">
        <f t="shared" si="20"/>
        <v>24.3</v>
      </c>
      <c r="L109" s="3">
        <f t="shared" si="20"/>
        <v>25.01</v>
      </c>
      <c r="M109" s="3">
        <f t="shared" si="20"/>
        <v>24.06</v>
      </c>
      <c r="P109" s="14" t="s">
        <v>155</v>
      </c>
      <c r="Q109" s="10" t="str">
        <f t="shared" si="21"/>
        <v xml:space="preserve">TRAN PAULIST-PN  </v>
      </c>
      <c r="R109" s="51">
        <f t="shared" si="22"/>
        <v>41705</v>
      </c>
      <c r="S109" s="5">
        <f t="shared" si="23"/>
        <v>25.01</v>
      </c>
      <c r="T109" s="5">
        <f t="shared" si="24"/>
        <v>24.3</v>
      </c>
      <c r="U109" s="5">
        <f t="shared" si="25"/>
        <v>25.01</v>
      </c>
      <c r="V109" s="5">
        <f t="shared" si="26"/>
        <v>24.06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152</v>
      </c>
      <c r="D110" s="3" t="s">
        <v>1673</v>
      </c>
      <c r="E110" s="3" t="s">
        <v>910</v>
      </c>
      <c r="F110" s="3" t="s">
        <v>1673</v>
      </c>
      <c r="G110" s="3" t="s">
        <v>910</v>
      </c>
      <c r="H110" s="51">
        <v>41705</v>
      </c>
      <c r="J110" s="3">
        <f t="shared" si="20"/>
        <v>0.62</v>
      </c>
      <c r="K110" s="3">
        <f t="shared" si="20"/>
        <v>0.6</v>
      </c>
      <c r="L110" s="3">
        <f t="shared" si="20"/>
        <v>0.62</v>
      </c>
      <c r="M110" s="3">
        <f t="shared" si="20"/>
        <v>0.6</v>
      </c>
      <c r="P110" s="15" t="s">
        <v>73</v>
      </c>
      <c r="Q110" s="10" t="str">
        <f t="shared" si="21"/>
        <v>UNIPAR      -PNA</v>
      </c>
      <c r="R110" s="51">
        <f t="shared" si="22"/>
        <v>41705</v>
      </c>
      <c r="S110" s="5">
        <f t="shared" si="23"/>
        <v>0.62</v>
      </c>
      <c r="T110" s="5">
        <f t="shared" si="24"/>
        <v>0.6</v>
      </c>
      <c r="U110" s="5">
        <f t="shared" si="25"/>
        <v>0.62</v>
      </c>
      <c r="V110" s="5">
        <f t="shared" si="26"/>
        <v>0.6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153</v>
      </c>
      <c r="D111" s="3" t="s">
        <v>1249</v>
      </c>
      <c r="E111" s="3" t="s">
        <v>719</v>
      </c>
      <c r="F111" s="3" t="s">
        <v>1249</v>
      </c>
      <c r="G111" s="3" t="s">
        <v>719</v>
      </c>
      <c r="H111" s="51">
        <v>41705</v>
      </c>
      <c r="J111" s="3">
        <f t="shared" si="20"/>
        <v>0.44</v>
      </c>
      <c r="K111" s="3">
        <f t="shared" si="20"/>
        <v>0.43</v>
      </c>
      <c r="L111" s="3">
        <f t="shared" si="20"/>
        <v>0.44</v>
      </c>
      <c r="M111" s="3">
        <f t="shared" si="20"/>
        <v>0.43</v>
      </c>
      <c r="P111" s="14" t="s">
        <v>39</v>
      </c>
      <c r="Q111" s="10" t="str">
        <f t="shared" si="21"/>
        <v>UNIPAR      -PNB</v>
      </c>
      <c r="R111" s="51">
        <f t="shared" si="22"/>
        <v>41705</v>
      </c>
      <c r="S111" s="5">
        <f t="shared" si="23"/>
        <v>0.44</v>
      </c>
      <c r="T111" s="5">
        <f t="shared" si="24"/>
        <v>0.43</v>
      </c>
      <c r="U111" s="5">
        <f t="shared" si="25"/>
        <v>0.44</v>
      </c>
      <c r="V111" s="5">
        <f t="shared" si="26"/>
        <v>0.43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408</v>
      </c>
      <c r="D112" s="3" t="s">
        <v>228</v>
      </c>
      <c r="E112" s="3" t="s">
        <v>228</v>
      </c>
      <c r="F112" s="3" t="s">
        <v>228</v>
      </c>
      <c r="G112" s="3" t="s">
        <v>228</v>
      </c>
      <c r="H112" s="51">
        <v>41705</v>
      </c>
      <c r="J112" s="3">
        <f t="shared" ref="J112:J121" si="27">IF($A112="",0,VALUE(CONCATENATE(LEFT(D112,LEN(D112)-3),",",RIGHT(D112,2))))</f>
        <v>19</v>
      </c>
      <c r="K112" s="3">
        <f t="shared" si="20"/>
        <v>19</v>
      </c>
      <c r="L112" s="3">
        <f t="shared" si="20"/>
        <v>19</v>
      </c>
      <c r="M112" s="3">
        <f t="shared" si="20"/>
        <v>19</v>
      </c>
      <c r="P112" s="3" t="s">
        <v>405</v>
      </c>
      <c r="Q112" s="10" t="str">
        <f t="shared" si="21"/>
        <v>PANATLANTICA-ON</v>
      </c>
      <c r="R112" s="51">
        <f t="shared" si="22"/>
        <v>41705</v>
      </c>
      <c r="S112" s="5">
        <f t="shared" si="23"/>
        <v>19</v>
      </c>
      <c r="T112" s="5">
        <f t="shared" si="24"/>
        <v>19</v>
      </c>
      <c r="U112" s="5">
        <f t="shared" si="25"/>
        <v>19</v>
      </c>
      <c r="V112" s="5">
        <f t="shared" si="26"/>
        <v>19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425</v>
      </c>
      <c r="D7" s="3" t="s">
        <v>426</v>
      </c>
      <c r="E7" s="3" t="s">
        <v>427</v>
      </c>
      <c r="F7" s="3" t="s">
        <v>426</v>
      </c>
      <c r="G7" s="3" t="s">
        <v>426</v>
      </c>
      <c r="H7" s="51" t="s">
        <v>426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423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439</v>
      </c>
      <c r="D8" s="3" t="s">
        <v>426</v>
      </c>
      <c r="E8" s="3" t="s">
        <v>440</v>
      </c>
      <c r="F8" s="3" t="s">
        <v>440</v>
      </c>
      <c r="G8" s="3" t="s">
        <v>440</v>
      </c>
      <c r="H8" s="51">
        <v>41705</v>
      </c>
      <c r="J8" s="3" t="e">
        <f t="shared" ref="J8:M71" si="7">IF($A8="",0,VALUE(CONCATENATE(LEFT(D8,LEN(D8)-3),",",RIGHT(D8,2))))</f>
        <v>#VALUE!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438</v>
      </c>
      <c r="Q8" s="10" t="str">
        <f t="shared" si="1"/>
        <v>AFLUENTE T  -ON</v>
      </c>
      <c r="R8" s="51">
        <f t="shared" si="2"/>
        <v>41705</v>
      </c>
      <c r="S8" s="5" t="e">
        <f t="shared" si="3"/>
        <v>#VALUE!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434</v>
      </c>
      <c r="D9" s="3" t="s">
        <v>426</v>
      </c>
      <c r="E9" s="3" t="s">
        <v>435</v>
      </c>
      <c r="F9" s="3" t="s">
        <v>435</v>
      </c>
      <c r="G9" s="3" t="s">
        <v>435</v>
      </c>
      <c r="H9" s="51">
        <v>41705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431</v>
      </c>
      <c r="Q9" s="10" t="str">
        <f t="shared" si="1"/>
        <v>AFLUENTE    -ON</v>
      </c>
      <c r="R9" s="51">
        <f t="shared" si="2"/>
        <v>41705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436</v>
      </c>
      <c r="D10" s="3" t="s">
        <v>426</v>
      </c>
      <c r="E10" s="3" t="s">
        <v>427</v>
      </c>
      <c r="F10" s="3" t="s">
        <v>426</v>
      </c>
      <c r="G10" s="3" t="s">
        <v>426</v>
      </c>
      <c r="H10" s="51" t="s">
        <v>426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432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437</v>
      </c>
      <c r="D11" s="3" t="s">
        <v>426</v>
      </c>
      <c r="E11" s="3" t="s">
        <v>427</v>
      </c>
      <c r="F11" s="3" t="s">
        <v>426</v>
      </c>
      <c r="G11" s="3" t="s">
        <v>426</v>
      </c>
      <c r="H11" s="51" t="s">
        <v>426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433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338</v>
      </c>
      <c r="D12" s="3" t="s">
        <v>1499</v>
      </c>
      <c r="E12" s="3" t="s">
        <v>1519</v>
      </c>
      <c r="F12" s="3" t="s">
        <v>1674</v>
      </c>
      <c r="G12" s="3" t="s">
        <v>1503</v>
      </c>
      <c r="H12" s="51">
        <v>41705</v>
      </c>
      <c r="J12" s="3">
        <f t="shared" si="7"/>
        <v>18</v>
      </c>
      <c r="K12" s="3">
        <f t="shared" si="0"/>
        <v>17.760000000000002</v>
      </c>
      <c r="L12" s="3">
        <f t="shared" si="0"/>
        <v>18.03</v>
      </c>
      <c r="M12" s="3">
        <f t="shared" si="0"/>
        <v>17.559999999999999</v>
      </c>
      <c r="P12" s="14" t="s">
        <v>337</v>
      </c>
      <c r="Q12" s="10" t="str">
        <f t="shared" si="1"/>
        <v xml:space="preserve">ALIANSCE    -ON  </v>
      </c>
      <c r="R12" s="46">
        <f t="shared" si="2"/>
        <v>41705</v>
      </c>
      <c r="S12" s="6">
        <f t="shared" si="3"/>
        <v>18</v>
      </c>
      <c r="T12" s="6">
        <f t="shared" si="4"/>
        <v>17.760000000000002</v>
      </c>
      <c r="U12" s="6">
        <f t="shared" si="5"/>
        <v>18.03</v>
      </c>
      <c r="V12" s="6">
        <f t="shared" si="6"/>
        <v>17.559999999999999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444</v>
      </c>
      <c r="D13" s="3" t="s">
        <v>1675</v>
      </c>
      <c r="E13" s="3" t="s">
        <v>1676</v>
      </c>
      <c r="F13" s="3" t="s">
        <v>1447</v>
      </c>
      <c r="G13" s="3" t="s">
        <v>1677</v>
      </c>
      <c r="H13" s="51">
        <v>41705</v>
      </c>
      <c r="J13" s="3">
        <f t="shared" si="7"/>
        <v>17.46</v>
      </c>
      <c r="K13" s="3">
        <f t="shared" si="0"/>
        <v>17.170000000000002</v>
      </c>
      <c r="L13" s="3">
        <f t="shared" si="0"/>
        <v>17.7</v>
      </c>
      <c r="M13" s="3">
        <f t="shared" si="0"/>
        <v>17.07</v>
      </c>
      <c r="P13" s="14" t="s">
        <v>441</v>
      </c>
      <c r="Q13" s="10" t="str">
        <f t="shared" si="1"/>
        <v xml:space="preserve">ALUPAR      -UNT </v>
      </c>
      <c r="R13" s="51">
        <f t="shared" si="2"/>
        <v>41705</v>
      </c>
      <c r="S13" s="5">
        <f t="shared" si="3"/>
        <v>17.46</v>
      </c>
      <c r="T13" s="5">
        <f t="shared" si="4"/>
        <v>17.170000000000002</v>
      </c>
      <c r="U13" s="5">
        <f t="shared" si="5"/>
        <v>17.7</v>
      </c>
      <c r="V13" s="5">
        <f t="shared" si="6"/>
        <v>17.07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445</v>
      </c>
      <c r="D14" s="3" t="s">
        <v>426</v>
      </c>
      <c r="E14" s="3" t="s">
        <v>427</v>
      </c>
      <c r="F14" s="3" t="s">
        <v>426</v>
      </c>
      <c r="G14" s="3" t="s">
        <v>426</v>
      </c>
      <c r="H14" s="51" t="s">
        <v>426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442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446</v>
      </c>
      <c r="D15" s="3" t="s">
        <v>426</v>
      </c>
      <c r="E15" s="3" t="s">
        <v>427</v>
      </c>
      <c r="F15" s="3" t="s">
        <v>426</v>
      </c>
      <c r="G15" s="3" t="s">
        <v>426</v>
      </c>
      <c r="H15" s="51" t="s">
        <v>426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443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299</v>
      </c>
      <c r="D16" s="3" t="s">
        <v>1373</v>
      </c>
      <c r="E16" s="3" t="s">
        <v>1342</v>
      </c>
      <c r="F16" s="3" t="s">
        <v>1373</v>
      </c>
      <c r="G16" s="3" t="s">
        <v>1342</v>
      </c>
      <c r="H16" s="51">
        <v>41705</v>
      </c>
      <c r="J16" s="3">
        <f t="shared" si="7"/>
        <v>5.26</v>
      </c>
      <c r="K16" s="3">
        <f t="shared" si="0"/>
        <v>5.25</v>
      </c>
      <c r="L16" s="3">
        <f t="shared" si="0"/>
        <v>5.26</v>
      </c>
      <c r="M16" s="3">
        <f t="shared" si="0"/>
        <v>5.25</v>
      </c>
      <c r="P16" s="14" t="s">
        <v>298</v>
      </c>
      <c r="Q16" s="10" t="str">
        <f t="shared" si="1"/>
        <v>BAHEMA      -ON</v>
      </c>
      <c r="R16" s="51">
        <f t="shared" si="2"/>
        <v>41705</v>
      </c>
      <c r="S16" s="5">
        <f t="shared" si="3"/>
        <v>5.26</v>
      </c>
      <c r="T16" s="5">
        <f t="shared" si="4"/>
        <v>5.25</v>
      </c>
      <c r="U16" s="5">
        <f t="shared" si="5"/>
        <v>5.26</v>
      </c>
      <c r="V16" s="5">
        <f t="shared" si="6"/>
        <v>5.25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245</v>
      </c>
      <c r="D17" s="3" t="s">
        <v>1678</v>
      </c>
      <c r="E17" s="3" t="s">
        <v>1679</v>
      </c>
      <c r="F17" s="3" t="s">
        <v>1680</v>
      </c>
      <c r="G17" s="3" t="s">
        <v>1681</v>
      </c>
      <c r="H17" s="51">
        <v>41705</v>
      </c>
      <c r="J17" s="3">
        <f t="shared" si="7"/>
        <v>23.37</v>
      </c>
      <c r="K17" s="3">
        <f t="shared" si="0"/>
        <v>23.12</v>
      </c>
      <c r="L17" s="3">
        <f t="shared" si="0"/>
        <v>23.48</v>
      </c>
      <c r="M17" s="3">
        <f t="shared" si="0"/>
        <v>23.04</v>
      </c>
      <c r="P17" s="15" t="s">
        <v>25</v>
      </c>
      <c r="Q17" s="10" t="str">
        <f t="shared" si="1"/>
        <v xml:space="preserve">BBSEGURIDADE-ON  </v>
      </c>
      <c r="R17" s="51">
        <f t="shared" si="2"/>
        <v>41705</v>
      </c>
      <c r="S17" s="5">
        <f t="shared" si="3"/>
        <v>23.37</v>
      </c>
      <c r="T17" s="5">
        <f t="shared" si="4"/>
        <v>23.12</v>
      </c>
      <c r="U17" s="5">
        <f t="shared" si="5"/>
        <v>23.48</v>
      </c>
      <c r="V17" s="5">
        <f t="shared" si="6"/>
        <v>23.04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290</v>
      </c>
      <c r="D18" s="3" t="s">
        <v>1682</v>
      </c>
      <c r="E18" s="3" t="s">
        <v>1683</v>
      </c>
      <c r="F18" s="3" t="s">
        <v>1682</v>
      </c>
      <c r="G18" s="3" t="s">
        <v>1684</v>
      </c>
      <c r="H18" s="51">
        <v>41705</v>
      </c>
      <c r="J18" s="3">
        <f t="shared" si="7"/>
        <v>17.02</v>
      </c>
      <c r="K18" s="3">
        <f t="shared" si="0"/>
        <v>16.420000000000002</v>
      </c>
      <c r="L18" s="3">
        <f t="shared" si="0"/>
        <v>17.02</v>
      </c>
      <c r="M18" s="3">
        <f t="shared" si="0"/>
        <v>16.38</v>
      </c>
      <c r="P18" s="10" t="s">
        <v>287</v>
      </c>
      <c r="Q18" s="10" t="str">
        <f t="shared" si="1"/>
        <v xml:space="preserve">BRADESPAR   -ON  </v>
      </c>
      <c r="R18" s="51">
        <f t="shared" si="2"/>
        <v>41705</v>
      </c>
      <c r="S18" s="5">
        <f t="shared" si="3"/>
        <v>17.02</v>
      </c>
      <c r="T18" s="5">
        <f t="shared" si="4"/>
        <v>16.420000000000002</v>
      </c>
      <c r="U18" s="5">
        <f t="shared" si="5"/>
        <v>17.02</v>
      </c>
      <c r="V18" s="5">
        <f t="shared" si="6"/>
        <v>16.38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291</v>
      </c>
      <c r="D19" s="3" t="s">
        <v>1685</v>
      </c>
      <c r="E19" s="3" t="s">
        <v>1686</v>
      </c>
      <c r="F19" s="3" t="s">
        <v>1685</v>
      </c>
      <c r="G19" s="3" t="s">
        <v>1687</v>
      </c>
      <c r="H19" s="51">
        <v>41705</v>
      </c>
      <c r="J19" s="3">
        <f t="shared" si="7"/>
        <v>20.21</v>
      </c>
      <c r="K19" s="3">
        <f t="shared" si="0"/>
        <v>19.34</v>
      </c>
      <c r="L19" s="3">
        <f t="shared" si="0"/>
        <v>20.21</v>
      </c>
      <c r="M19" s="3">
        <f t="shared" si="0"/>
        <v>19.27</v>
      </c>
      <c r="P19" s="10" t="s">
        <v>288</v>
      </c>
      <c r="Q19" s="10" t="str">
        <f t="shared" si="1"/>
        <v xml:space="preserve">BRADESPAR   -PN  </v>
      </c>
      <c r="R19" s="51">
        <f t="shared" si="2"/>
        <v>41705</v>
      </c>
      <c r="S19" s="5">
        <f t="shared" si="3"/>
        <v>20.21</v>
      </c>
      <c r="T19" s="5">
        <f t="shared" si="4"/>
        <v>19.34</v>
      </c>
      <c r="U19" s="5">
        <f t="shared" si="5"/>
        <v>20.21</v>
      </c>
      <c r="V19" s="5">
        <f t="shared" si="6"/>
        <v>19.27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271</v>
      </c>
      <c r="D20" s="3" t="s">
        <v>1688</v>
      </c>
      <c r="E20" s="3" t="s">
        <v>1689</v>
      </c>
      <c r="F20" s="3" t="s">
        <v>1690</v>
      </c>
      <c r="G20" s="3" t="s">
        <v>1689</v>
      </c>
      <c r="H20" s="51">
        <v>41705</v>
      </c>
      <c r="J20" s="3">
        <f t="shared" si="7"/>
        <v>44.24</v>
      </c>
      <c r="K20" s="3">
        <f t="shared" si="0"/>
        <v>43.95</v>
      </c>
      <c r="L20" s="3">
        <f t="shared" si="0"/>
        <v>44.85</v>
      </c>
      <c r="M20" s="3">
        <f t="shared" si="0"/>
        <v>43.95</v>
      </c>
      <c r="P20" s="10" t="s">
        <v>269</v>
      </c>
      <c r="Q20" s="10" t="str">
        <f t="shared" si="1"/>
        <v xml:space="preserve">BRF SA      -ON  </v>
      </c>
      <c r="R20" s="51">
        <f t="shared" si="2"/>
        <v>41705</v>
      </c>
      <c r="S20" s="5">
        <f t="shared" si="3"/>
        <v>44.24</v>
      </c>
      <c r="T20" s="5">
        <f t="shared" si="4"/>
        <v>43.95</v>
      </c>
      <c r="U20" s="5">
        <f t="shared" si="5"/>
        <v>44.85</v>
      </c>
      <c r="V20" s="5">
        <f t="shared" si="6"/>
        <v>43.95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361</v>
      </c>
      <c r="D21" s="3" t="s">
        <v>1691</v>
      </c>
      <c r="E21" s="3" t="s">
        <v>1505</v>
      </c>
      <c r="F21" s="3" t="s">
        <v>1691</v>
      </c>
      <c r="G21" s="3" t="s">
        <v>1692</v>
      </c>
      <c r="H21" s="51">
        <v>41705</v>
      </c>
      <c r="J21" s="3">
        <f t="shared" si="7"/>
        <v>16.02</v>
      </c>
      <c r="K21" s="3">
        <f t="shared" si="0"/>
        <v>15.6</v>
      </c>
      <c r="L21" s="3">
        <f t="shared" si="0"/>
        <v>16.02</v>
      </c>
      <c r="M21" s="3">
        <f t="shared" si="0"/>
        <v>15.53</v>
      </c>
      <c r="P21" s="14" t="s">
        <v>359</v>
      </c>
      <c r="Q21" s="10" t="str">
        <f t="shared" si="1"/>
        <v xml:space="preserve">BR INSURANCE-ON  </v>
      </c>
      <c r="R21" s="51">
        <f t="shared" si="2"/>
        <v>41705</v>
      </c>
      <c r="S21" s="5">
        <f t="shared" si="3"/>
        <v>16.02</v>
      </c>
      <c r="T21" s="5">
        <f t="shared" si="4"/>
        <v>15.6</v>
      </c>
      <c r="U21" s="5">
        <f t="shared" si="5"/>
        <v>16.02</v>
      </c>
      <c r="V21" s="5">
        <f t="shared" si="6"/>
        <v>15.53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257</v>
      </c>
      <c r="D22" s="3" t="s">
        <v>1693</v>
      </c>
      <c r="E22" s="3" t="s">
        <v>1532</v>
      </c>
      <c r="F22" s="3" t="s">
        <v>1589</v>
      </c>
      <c r="G22" s="3" t="s">
        <v>1532</v>
      </c>
      <c r="H22" s="51">
        <v>41705</v>
      </c>
      <c r="J22" s="3">
        <f t="shared" si="7"/>
        <v>12.53</v>
      </c>
      <c r="K22" s="3">
        <f t="shared" si="0"/>
        <v>12.06</v>
      </c>
      <c r="L22" s="3">
        <f t="shared" si="0"/>
        <v>12.9</v>
      </c>
      <c r="M22" s="3">
        <f t="shared" si="0"/>
        <v>12.06</v>
      </c>
      <c r="P22" s="14" t="s">
        <v>254</v>
      </c>
      <c r="Q22" s="10" t="str">
        <f t="shared" si="1"/>
        <v xml:space="preserve">BRASKEM     -ON  </v>
      </c>
      <c r="R22" s="51">
        <f t="shared" si="2"/>
        <v>41705</v>
      </c>
      <c r="S22" s="5">
        <f t="shared" si="3"/>
        <v>12.53</v>
      </c>
      <c r="T22" s="5">
        <f t="shared" si="4"/>
        <v>12.06</v>
      </c>
      <c r="U22" s="5">
        <f t="shared" si="5"/>
        <v>12.9</v>
      </c>
      <c r="V22" s="5">
        <f t="shared" si="6"/>
        <v>12.06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258</v>
      </c>
      <c r="D23" s="3" t="s">
        <v>1694</v>
      </c>
      <c r="E23" s="3" t="s">
        <v>1695</v>
      </c>
      <c r="F23" s="3" t="s">
        <v>1696</v>
      </c>
      <c r="G23" s="3" t="s">
        <v>1463</v>
      </c>
      <c r="H23" s="51">
        <v>41705</v>
      </c>
      <c r="J23" s="3">
        <f t="shared" si="7"/>
        <v>15.75</v>
      </c>
      <c r="K23" s="3">
        <f t="shared" si="7"/>
        <v>15.19</v>
      </c>
      <c r="L23" s="3">
        <f t="shared" si="7"/>
        <v>15.79</v>
      </c>
      <c r="M23" s="3">
        <f t="shared" si="7"/>
        <v>15.18</v>
      </c>
      <c r="P23" s="14" t="s">
        <v>255</v>
      </c>
      <c r="Q23" s="10" t="str">
        <f t="shared" si="1"/>
        <v xml:space="preserve">BRASKEM     -PNA </v>
      </c>
      <c r="R23" s="51">
        <f t="shared" si="2"/>
        <v>41705</v>
      </c>
      <c r="S23" s="5">
        <f t="shared" si="3"/>
        <v>15.75</v>
      </c>
      <c r="T23" s="5">
        <f t="shared" si="4"/>
        <v>15.19</v>
      </c>
      <c r="U23" s="5">
        <f t="shared" si="5"/>
        <v>15.79</v>
      </c>
      <c r="V23" s="5">
        <f t="shared" si="6"/>
        <v>15.18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259</v>
      </c>
      <c r="D24" s="3" t="s">
        <v>720</v>
      </c>
      <c r="E24" s="3" t="s">
        <v>720</v>
      </c>
      <c r="F24" s="3" t="s">
        <v>720</v>
      </c>
      <c r="G24" s="3" t="s">
        <v>720</v>
      </c>
      <c r="H24" s="51">
        <v>41705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256</v>
      </c>
      <c r="Q24" s="10" t="str">
        <f t="shared" si="1"/>
        <v xml:space="preserve">BRASKEM     -PNB </v>
      </c>
      <c r="R24" s="51">
        <f t="shared" si="2"/>
        <v>41705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340</v>
      </c>
      <c r="D25" s="3" t="s">
        <v>1697</v>
      </c>
      <c r="E25" s="3" t="s">
        <v>1698</v>
      </c>
      <c r="F25" s="3" t="s">
        <v>1699</v>
      </c>
      <c r="G25" s="3" t="s">
        <v>1500</v>
      </c>
      <c r="H25" s="51">
        <v>41705</v>
      </c>
      <c r="J25" s="3">
        <f t="shared" si="7"/>
        <v>18.399999999999999</v>
      </c>
      <c r="K25" s="3">
        <f t="shared" si="7"/>
        <v>18.22</v>
      </c>
      <c r="L25" s="3">
        <f t="shared" si="7"/>
        <v>18.440000000000001</v>
      </c>
      <c r="M25" s="3">
        <f t="shared" si="7"/>
        <v>18.2</v>
      </c>
      <c r="P25" s="10" t="s">
        <v>339</v>
      </c>
      <c r="Q25" s="10" t="str">
        <f t="shared" si="1"/>
        <v xml:space="preserve">BR MALLS PAR-ON  </v>
      </c>
      <c r="R25" s="51">
        <f t="shared" si="2"/>
        <v>41705</v>
      </c>
      <c r="S25" s="5">
        <f t="shared" si="3"/>
        <v>18.399999999999999</v>
      </c>
      <c r="T25" s="5">
        <f t="shared" si="4"/>
        <v>18.22</v>
      </c>
      <c r="U25" s="5">
        <f t="shared" si="5"/>
        <v>18.440000000000001</v>
      </c>
      <c r="V25" s="5">
        <f t="shared" si="6"/>
        <v>18.2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342</v>
      </c>
      <c r="D26" s="3" t="s">
        <v>1700</v>
      </c>
      <c r="E26" s="3" t="s">
        <v>1701</v>
      </c>
      <c r="F26" s="3" t="s">
        <v>1702</v>
      </c>
      <c r="G26" s="3" t="s">
        <v>1384</v>
      </c>
      <c r="H26" s="51">
        <v>41705</v>
      </c>
      <c r="J26" s="3">
        <f t="shared" si="7"/>
        <v>16.96</v>
      </c>
      <c r="K26" s="3">
        <f t="shared" si="7"/>
        <v>16.510000000000002</v>
      </c>
      <c r="L26" s="3">
        <f t="shared" si="7"/>
        <v>17.11</v>
      </c>
      <c r="M26" s="3">
        <f t="shared" si="7"/>
        <v>16.5</v>
      </c>
      <c r="P26" s="15" t="s">
        <v>341</v>
      </c>
      <c r="Q26" s="10" t="str">
        <f t="shared" si="1"/>
        <v xml:space="preserve">BR PROPERT  -ON  </v>
      </c>
      <c r="R26" s="51">
        <f t="shared" si="2"/>
        <v>41705</v>
      </c>
      <c r="S26" s="5">
        <f t="shared" si="3"/>
        <v>16.96</v>
      </c>
      <c r="T26" s="5">
        <f t="shared" si="4"/>
        <v>16.510000000000002</v>
      </c>
      <c r="U26" s="5">
        <f t="shared" si="5"/>
        <v>17.11</v>
      </c>
      <c r="V26" s="5">
        <f t="shared" si="6"/>
        <v>16.5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367</v>
      </c>
      <c r="D27" s="3" t="s">
        <v>1703</v>
      </c>
      <c r="E27" s="3" t="s">
        <v>1704</v>
      </c>
      <c r="F27" s="3" t="s">
        <v>1705</v>
      </c>
      <c r="G27" s="3" t="s">
        <v>128</v>
      </c>
      <c r="H27" s="51">
        <v>41705</v>
      </c>
      <c r="J27" s="3">
        <f t="shared" si="7"/>
        <v>10.210000000000001</v>
      </c>
      <c r="K27" s="3">
        <f t="shared" si="7"/>
        <v>10.33</v>
      </c>
      <c r="L27" s="3">
        <f t="shared" si="7"/>
        <v>10.44</v>
      </c>
      <c r="M27" s="3">
        <f t="shared" si="7"/>
        <v>10.119999999999999</v>
      </c>
      <c r="P27" s="15" t="s">
        <v>365</v>
      </c>
      <c r="Q27" s="10" t="str">
        <f t="shared" si="1"/>
        <v xml:space="preserve">BMFBOVESPA  -ON  </v>
      </c>
      <c r="R27" s="51">
        <f t="shared" si="2"/>
        <v>41705</v>
      </c>
      <c r="S27" s="5">
        <f t="shared" si="3"/>
        <v>10.210000000000001</v>
      </c>
      <c r="T27" s="5">
        <f t="shared" si="4"/>
        <v>10.33</v>
      </c>
      <c r="U27" s="5">
        <f t="shared" si="5"/>
        <v>10.44</v>
      </c>
      <c r="V27" s="5">
        <f t="shared" si="6"/>
        <v>10.119999999999999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448</v>
      </c>
      <c r="D28" s="3" t="s">
        <v>1706</v>
      </c>
      <c r="E28" s="3" t="s">
        <v>1706</v>
      </c>
      <c r="F28" s="3" t="s">
        <v>1706</v>
      </c>
      <c r="G28" s="3" t="s">
        <v>1706</v>
      </c>
      <c r="H28" s="51">
        <v>41705</v>
      </c>
      <c r="J28" s="3">
        <f t="shared" si="7"/>
        <v>1.1000000000000001</v>
      </c>
      <c r="K28" s="3">
        <f t="shared" si="7"/>
        <v>1.1000000000000001</v>
      </c>
      <c r="L28" s="3">
        <f t="shared" si="7"/>
        <v>1.1000000000000001</v>
      </c>
      <c r="M28" s="3">
        <f t="shared" si="7"/>
        <v>1.1000000000000001</v>
      </c>
      <c r="P28" s="15" t="s">
        <v>447</v>
      </c>
      <c r="Q28" s="10" t="str">
        <f t="shared" si="1"/>
        <v>AMPLA ENERG -ON *</v>
      </c>
      <c r="R28" s="51">
        <f t="shared" si="2"/>
        <v>41705</v>
      </c>
      <c r="S28" s="5">
        <f t="shared" si="3"/>
        <v>1.1000000000000001</v>
      </c>
      <c r="T28" s="5">
        <f t="shared" si="4"/>
        <v>1.1000000000000001</v>
      </c>
      <c r="U28" s="5">
        <f t="shared" si="5"/>
        <v>1.1000000000000001</v>
      </c>
      <c r="V28" s="5">
        <f t="shared" si="6"/>
        <v>1.1000000000000001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344</v>
      </c>
      <c r="D29" s="3" t="s">
        <v>1707</v>
      </c>
      <c r="E29" s="3" t="s">
        <v>1708</v>
      </c>
      <c r="F29" s="3" t="s">
        <v>1709</v>
      </c>
      <c r="G29" s="3" t="s">
        <v>1708</v>
      </c>
      <c r="H29" s="51">
        <v>41705</v>
      </c>
      <c r="J29" s="3">
        <f>IF($A29="",0,VALUE(CONCATENATE(LEFT(D29,LEN(D29)-3),",",RIGHT(D29,2))))</f>
        <v>19.41</v>
      </c>
      <c r="K29" s="3">
        <f t="shared" si="7"/>
        <v>19.3</v>
      </c>
      <c r="L29" s="3">
        <f t="shared" si="7"/>
        <v>19.600000000000001</v>
      </c>
      <c r="M29" s="3">
        <f t="shared" si="7"/>
        <v>19.3</v>
      </c>
      <c r="P29" s="15" t="s">
        <v>343</v>
      </c>
      <c r="Q29" s="10" t="str">
        <f t="shared" si="1"/>
        <v xml:space="preserve">CYRE COM-CCP-ON  </v>
      </c>
      <c r="R29" s="51">
        <f t="shared" si="2"/>
        <v>41705</v>
      </c>
      <c r="S29" s="5">
        <f t="shared" si="3"/>
        <v>19.41</v>
      </c>
      <c r="T29" s="5">
        <f t="shared" si="4"/>
        <v>19.3</v>
      </c>
      <c r="U29" s="5">
        <f t="shared" si="5"/>
        <v>19.600000000000001</v>
      </c>
      <c r="V29" s="5">
        <f t="shared" si="6"/>
        <v>19.3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630</v>
      </c>
      <c r="D30" s="3" t="s">
        <v>426</v>
      </c>
      <c r="E30" s="3" t="s">
        <v>427</v>
      </c>
      <c r="F30" s="3" t="s">
        <v>426</v>
      </c>
      <c r="G30" s="3" t="s">
        <v>426</v>
      </c>
      <c r="H30" s="51" t="s">
        <v>426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468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460</v>
      </c>
      <c r="D31" s="3" t="s">
        <v>1357</v>
      </c>
      <c r="E31" s="3" t="s">
        <v>1357</v>
      </c>
      <c r="F31" s="3" t="s">
        <v>1357</v>
      </c>
      <c r="G31" s="3" t="s">
        <v>1357</v>
      </c>
      <c r="H31" s="51">
        <v>41705</v>
      </c>
      <c r="J31" s="3">
        <f t="shared" si="7"/>
        <v>1.24</v>
      </c>
      <c r="K31" s="3">
        <f t="shared" si="7"/>
        <v>1.24</v>
      </c>
      <c r="L31" s="3">
        <f t="shared" si="7"/>
        <v>1.24</v>
      </c>
      <c r="M31" s="3">
        <f t="shared" si="7"/>
        <v>1.24</v>
      </c>
      <c r="P31" s="14" t="s">
        <v>456</v>
      </c>
      <c r="Q31" s="10" t="str">
        <f t="shared" si="1"/>
        <v>CELPA       -ON</v>
      </c>
      <c r="R31" s="51">
        <f t="shared" si="2"/>
        <v>41705</v>
      </c>
      <c r="S31" s="5">
        <f t="shared" si="3"/>
        <v>1.24</v>
      </c>
      <c r="T31" s="5">
        <f t="shared" si="4"/>
        <v>1.24</v>
      </c>
      <c r="U31" s="5">
        <f t="shared" si="5"/>
        <v>1.24</v>
      </c>
      <c r="V31" s="5">
        <f t="shared" si="6"/>
        <v>1.24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461</v>
      </c>
      <c r="D32" s="3" t="s">
        <v>426</v>
      </c>
      <c r="E32" s="3" t="s">
        <v>462</v>
      </c>
      <c r="F32" s="3" t="s">
        <v>462</v>
      </c>
      <c r="G32" s="3" t="s">
        <v>462</v>
      </c>
      <c r="H32" s="51">
        <v>41705</v>
      </c>
      <c r="J32" s="3" t="e">
        <f t="shared" si="7"/>
        <v>#VALUE!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457</v>
      </c>
      <c r="Q32" s="10" t="str">
        <f t="shared" si="1"/>
        <v>CELPA       -PNA</v>
      </c>
      <c r="R32" s="51">
        <f t="shared" si="2"/>
        <v>41705</v>
      </c>
      <c r="S32" s="5" t="e">
        <f t="shared" si="3"/>
        <v>#VALUE!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463</v>
      </c>
      <c r="D33" s="3" t="s">
        <v>426</v>
      </c>
      <c r="E33" s="3" t="s">
        <v>464</v>
      </c>
      <c r="F33" s="3" t="s">
        <v>464</v>
      </c>
      <c r="G33" s="3" t="s">
        <v>464</v>
      </c>
      <c r="H33" s="51">
        <v>41705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458</v>
      </c>
      <c r="Q33" s="10" t="str">
        <f t="shared" si="1"/>
        <v>CELPA       -PNB</v>
      </c>
      <c r="R33" s="51">
        <f t="shared" si="2"/>
        <v>41705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465</v>
      </c>
      <c r="D34" s="3" t="s">
        <v>426</v>
      </c>
      <c r="E34" s="3" t="s">
        <v>910</v>
      </c>
      <c r="F34" s="3" t="s">
        <v>910</v>
      </c>
      <c r="G34" s="3" t="s">
        <v>910</v>
      </c>
      <c r="H34" s="51">
        <v>41705</v>
      </c>
      <c r="J34" s="3" t="e">
        <f t="shared" si="7"/>
        <v>#VALUE!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459</v>
      </c>
      <c r="Q34" s="10" t="str">
        <f t="shared" si="1"/>
        <v>CELPA       -PNC</v>
      </c>
      <c r="R34" s="51">
        <f t="shared" si="2"/>
        <v>41705</v>
      </c>
      <c r="S34" s="5" t="e">
        <f t="shared" si="3"/>
        <v>#VALUE!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371</v>
      </c>
      <c r="D35" s="3" t="s">
        <v>1710</v>
      </c>
      <c r="E35" s="3" t="s">
        <v>1711</v>
      </c>
      <c r="F35" s="3" t="s">
        <v>1712</v>
      </c>
      <c r="G35" s="3" t="s">
        <v>1713</v>
      </c>
      <c r="H35" s="51">
        <v>41705</v>
      </c>
      <c r="J35" s="3">
        <f t="shared" si="7"/>
        <v>65.290000000000006</v>
      </c>
      <c r="K35" s="3">
        <f t="shared" si="7"/>
        <v>65.09</v>
      </c>
      <c r="L35" s="3">
        <f t="shared" si="7"/>
        <v>65.45</v>
      </c>
      <c r="M35" s="3">
        <f t="shared" si="7"/>
        <v>64.75</v>
      </c>
      <c r="P35" s="43" t="s">
        <v>369</v>
      </c>
      <c r="Q35" s="10" t="str">
        <f t="shared" si="1"/>
        <v xml:space="preserve">CIELO       -ON  </v>
      </c>
      <c r="R35" s="51">
        <f t="shared" si="2"/>
        <v>41705</v>
      </c>
      <c r="S35" s="5">
        <f t="shared" si="3"/>
        <v>65.290000000000006</v>
      </c>
      <c r="T35" s="5">
        <f t="shared" si="4"/>
        <v>65.09</v>
      </c>
      <c r="U35" s="5">
        <f t="shared" si="5"/>
        <v>65.45</v>
      </c>
      <c r="V35" s="5">
        <f t="shared" si="6"/>
        <v>64.75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631</v>
      </c>
      <c r="D36" s="3" t="s">
        <v>426</v>
      </c>
      <c r="E36" s="3" t="s">
        <v>267</v>
      </c>
      <c r="F36" s="3" t="s">
        <v>267</v>
      </c>
      <c r="G36" s="3" t="s">
        <v>267</v>
      </c>
      <c r="H36" s="51">
        <v>41705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265</v>
      </c>
      <c r="Q36" s="10" t="str">
        <f t="shared" si="1"/>
        <v>CACIQUE     -ON</v>
      </c>
      <c r="R36" s="51">
        <f t="shared" si="2"/>
        <v>41705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632</v>
      </c>
      <c r="D37" s="3" t="s">
        <v>896</v>
      </c>
      <c r="E37" s="3" t="s">
        <v>1414</v>
      </c>
      <c r="F37" s="3" t="s">
        <v>1414</v>
      </c>
      <c r="G37" s="3" t="s">
        <v>896</v>
      </c>
      <c r="H37" s="51">
        <v>41705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266</v>
      </c>
      <c r="Q37" s="10" t="str">
        <f t="shared" si="1"/>
        <v>CACIQUE     -PN</v>
      </c>
      <c r="R37" s="51">
        <f t="shared" si="2"/>
        <v>41705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455</v>
      </c>
      <c r="D38" s="3" t="s">
        <v>426</v>
      </c>
      <c r="E38" s="3" t="s">
        <v>745</v>
      </c>
      <c r="F38" s="3" t="s">
        <v>745</v>
      </c>
      <c r="G38" s="3" t="s">
        <v>745</v>
      </c>
      <c r="H38" s="51">
        <v>41705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454</v>
      </c>
      <c r="Q38" s="10" t="str">
        <f t="shared" si="1"/>
        <v xml:space="preserve">CELESC      -ON  </v>
      </c>
      <c r="R38" s="51">
        <f t="shared" si="2"/>
        <v>41705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358</v>
      </c>
      <c r="D39" s="3" t="s">
        <v>1555</v>
      </c>
      <c r="E39" s="3" t="s">
        <v>1555</v>
      </c>
      <c r="F39" s="3" t="s">
        <v>1555</v>
      </c>
      <c r="G39" s="3" t="s">
        <v>1555</v>
      </c>
      <c r="H39" s="51">
        <v>41705</v>
      </c>
      <c r="J39" s="3">
        <f t="shared" si="7"/>
        <v>4.0599999999999996</v>
      </c>
      <c r="K39" s="3">
        <f t="shared" si="7"/>
        <v>4.0599999999999996</v>
      </c>
      <c r="L39" s="3">
        <f t="shared" si="7"/>
        <v>4.0599999999999996</v>
      </c>
      <c r="M39" s="3">
        <f t="shared" si="7"/>
        <v>4.0599999999999996</v>
      </c>
      <c r="P39" s="10" t="s">
        <v>356</v>
      </c>
      <c r="Q39" s="10" t="str">
        <f t="shared" ref="Q39:Q70" si="8">IF(A39="","",C39)</f>
        <v>ALFA FINANC -ON</v>
      </c>
      <c r="R39" s="51">
        <f t="shared" ref="R39:R70" si="9">IF(A39="","",H39)</f>
        <v>41705</v>
      </c>
      <c r="S39" s="5">
        <f t="shared" ref="S39:S70" si="10">J39</f>
        <v>4.0599999999999996</v>
      </c>
      <c r="T39" s="5">
        <f t="shared" ref="T39:T70" si="11">K39</f>
        <v>4.0599999999999996</v>
      </c>
      <c r="U39" s="5">
        <f t="shared" ref="U39:U70" si="12">L39</f>
        <v>4.0599999999999996</v>
      </c>
      <c r="V39" s="5">
        <f t="shared" ref="V39:V70" si="13">M39</f>
        <v>4.0599999999999996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762</v>
      </c>
      <c r="D40" s="3" t="s">
        <v>1459</v>
      </c>
      <c r="E40" s="3" t="s">
        <v>1376</v>
      </c>
      <c r="F40" s="3" t="s">
        <v>1376</v>
      </c>
      <c r="G40" s="3" t="s">
        <v>1714</v>
      </c>
      <c r="H40" s="51">
        <v>41705</v>
      </c>
      <c r="J40" s="3">
        <f t="shared" si="7"/>
        <v>3.52</v>
      </c>
      <c r="K40" s="3">
        <f t="shared" si="7"/>
        <v>3.79</v>
      </c>
      <c r="L40" s="3">
        <f t="shared" si="7"/>
        <v>3.79</v>
      </c>
      <c r="M40" s="3">
        <f t="shared" si="7"/>
        <v>3.51</v>
      </c>
      <c r="P40" s="14" t="s">
        <v>357</v>
      </c>
      <c r="Q40" s="10" t="str">
        <f t="shared" si="8"/>
        <v>ALFA FINANC -PN</v>
      </c>
      <c r="R40" s="51">
        <f t="shared" si="9"/>
        <v>41705</v>
      </c>
      <c r="S40" s="5">
        <f t="shared" si="10"/>
        <v>3.52</v>
      </c>
      <c r="T40" s="5">
        <f t="shared" si="11"/>
        <v>3.79</v>
      </c>
      <c r="U40" s="5">
        <f t="shared" si="12"/>
        <v>3.79</v>
      </c>
      <c r="V40" s="5">
        <f t="shared" si="13"/>
        <v>3.51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243</v>
      </c>
      <c r="D41" s="3" t="s">
        <v>126</v>
      </c>
      <c r="E41" s="3" t="s">
        <v>126</v>
      </c>
      <c r="F41" s="3" t="s">
        <v>126</v>
      </c>
      <c r="G41" s="3" t="s">
        <v>126</v>
      </c>
      <c r="H41" s="51">
        <v>41705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241</v>
      </c>
      <c r="Q41" s="10" t="str">
        <f t="shared" si="8"/>
        <v>SEG AL BAHIA-ON</v>
      </c>
      <c r="R41" s="51">
        <f t="shared" si="9"/>
        <v>41705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244</v>
      </c>
      <c r="D42" s="3" t="s">
        <v>1715</v>
      </c>
      <c r="E42" s="3" t="s">
        <v>126</v>
      </c>
      <c r="F42" s="3" t="s">
        <v>126</v>
      </c>
      <c r="G42" s="3" t="s">
        <v>1715</v>
      </c>
      <c r="H42" s="51">
        <v>41705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4" t="s">
        <v>242</v>
      </c>
      <c r="Q42" s="10" t="str">
        <f t="shared" si="8"/>
        <v>SEG AL BAHIA-PN</v>
      </c>
      <c r="R42" s="51">
        <f t="shared" si="9"/>
        <v>41705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262</v>
      </c>
      <c r="D43" s="3" t="s">
        <v>1716</v>
      </c>
      <c r="E43" s="3" t="s">
        <v>1717</v>
      </c>
      <c r="F43" s="3" t="s">
        <v>1506</v>
      </c>
      <c r="G43" s="3" t="s">
        <v>1718</v>
      </c>
      <c r="H43" s="51">
        <v>41705</v>
      </c>
      <c r="J43" s="3">
        <f t="shared" si="7"/>
        <v>34.79</v>
      </c>
      <c r="K43" s="3">
        <f t="shared" si="7"/>
        <v>33.99</v>
      </c>
      <c r="L43" s="3">
        <f t="shared" si="7"/>
        <v>34.840000000000003</v>
      </c>
      <c r="M43" s="3">
        <f t="shared" si="7"/>
        <v>33.869999999999997</v>
      </c>
      <c r="P43" s="14" t="s">
        <v>261</v>
      </c>
      <c r="Q43" s="10" t="str">
        <f t="shared" si="8"/>
        <v xml:space="preserve">COSAN       -ON  </v>
      </c>
      <c r="R43" s="51">
        <f t="shared" si="9"/>
        <v>41705</v>
      </c>
      <c r="S43" s="5">
        <f t="shared" si="10"/>
        <v>34.79</v>
      </c>
      <c r="T43" s="5">
        <f t="shared" si="11"/>
        <v>33.99</v>
      </c>
      <c r="U43" s="5">
        <f t="shared" si="12"/>
        <v>34.840000000000003</v>
      </c>
      <c r="V43" s="5">
        <f t="shared" si="13"/>
        <v>33.869999999999997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370</v>
      </c>
      <c r="D44" s="3" t="s">
        <v>1719</v>
      </c>
      <c r="E44" s="3" t="s">
        <v>1720</v>
      </c>
      <c r="F44" s="3" t="s">
        <v>1719</v>
      </c>
      <c r="G44" s="3" t="s">
        <v>1438</v>
      </c>
      <c r="H44" s="51">
        <v>41705</v>
      </c>
      <c r="J44" s="3">
        <f t="shared" si="7"/>
        <v>25.4</v>
      </c>
      <c r="K44" s="3">
        <f t="shared" si="7"/>
        <v>25.13</v>
      </c>
      <c r="L44" s="3">
        <f t="shared" si="7"/>
        <v>25.4</v>
      </c>
      <c r="M44" s="3">
        <f t="shared" si="7"/>
        <v>25.05</v>
      </c>
      <c r="P44" s="14" t="s">
        <v>368</v>
      </c>
      <c r="Q44" s="10" t="str">
        <f t="shared" si="8"/>
        <v xml:space="preserve">CETIP       -ON  </v>
      </c>
      <c r="R44" s="51">
        <f t="shared" si="9"/>
        <v>41705</v>
      </c>
      <c r="S44" s="5">
        <f t="shared" si="10"/>
        <v>25.4</v>
      </c>
      <c r="T44" s="5">
        <f t="shared" si="11"/>
        <v>25.13</v>
      </c>
      <c r="U44" s="5">
        <f t="shared" si="12"/>
        <v>25.4</v>
      </c>
      <c r="V44" s="5">
        <f t="shared" si="13"/>
        <v>25.05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312</v>
      </c>
      <c r="D45" s="3" t="s">
        <v>916</v>
      </c>
      <c r="E45" s="3" t="s">
        <v>1721</v>
      </c>
      <c r="F45" s="3" t="s">
        <v>1722</v>
      </c>
      <c r="G45" s="3" t="s">
        <v>1723</v>
      </c>
      <c r="H45" s="51">
        <v>41705</v>
      </c>
      <c r="J45" s="3">
        <f t="shared" si="7"/>
        <v>10.9</v>
      </c>
      <c r="K45" s="3">
        <f t="shared" si="7"/>
        <v>10.73</v>
      </c>
      <c r="L45" s="3">
        <f t="shared" si="7"/>
        <v>11.03</v>
      </c>
      <c r="M45" s="3">
        <f t="shared" si="7"/>
        <v>10.67</v>
      </c>
      <c r="P45" s="14" t="s">
        <v>310</v>
      </c>
      <c r="Q45" s="10" t="str">
        <f t="shared" si="8"/>
        <v xml:space="preserve">DURATEX     -ON  </v>
      </c>
      <c r="R45" s="51">
        <f t="shared" si="9"/>
        <v>41705</v>
      </c>
      <c r="S45" s="5">
        <f t="shared" si="10"/>
        <v>10.9</v>
      </c>
      <c r="T45" s="5">
        <f t="shared" si="11"/>
        <v>10.73</v>
      </c>
      <c r="U45" s="5">
        <f t="shared" si="12"/>
        <v>11.03</v>
      </c>
      <c r="V45" s="5">
        <f t="shared" si="13"/>
        <v>10.67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373</v>
      </c>
      <c r="D46" s="3" t="s">
        <v>1724</v>
      </c>
      <c r="E46" s="3" t="s">
        <v>1724</v>
      </c>
      <c r="F46" s="3" t="s">
        <v>1724</v>
      </c>
      <c r="G46" s="3" t="s">
        <v>1445</v>
      </c>
      <c r="H46" s="51">
        <v>41705</v>
      </c>
      <c r="J46" s="3">
        <f t="shared" si="7"/>
        <v>7.6</v>
      </c>
      <c r="K46" s="3">
        <f t="shared" si="7"/>
        <v>7.6</v>
      </c>
      <c r="L46" s="3">
        <f t="shared" si="7"/>
        <v>7.6</v>
      </c>
      <c r="M46" s="3">
        <f t="shared" si="7"/>
        <v>7.35</v>
      </c>
      <c r="P46" s="14" t="s">
        <v>372</v>
      </c>
      <c r="Q46" s="10" t="str">
        <f t="shared" si="8"/>
        <v>EMBRATEL PAR-PN *</v>
      </c>
      <c r="R46" s="46">
        <f t="shared" si="9"/>
        <v>41705</v>
      </c>
      <c r="S46" s="6">
        <f t="shared" si="10"/>
        <v>7.6</v>
      </c>
      <c r="T46" s="6">
        <f t="shared" si="11"/>
        <v>7.6</v>
      </c>
      <c r="U46" s="6">
        <f t="shared" si="12"/>
        <v>7.6</v>
      </c>
      <c r="V46" s="6">
        <f t="shared" si="13"/>
        <v>7.35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392</v>
      </c>
      <c r="D47" s="3" t="s">
        <v>1343</v>
      </c>
      <c r="E47" s="3" t="s">
        <v>1344</v>
      </c>
      <c r="F47" s="3" t="s">
        <v>1343</v>
      </c>
      <c r="G47" s="3" t="s">
        <v>1344</v>
      </c>
      <c r="H47" s="51">
        <v>41705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252</v>
      </c>
      <c r="Q47" s="10" t="str">
        <f t="shared" si="8"/>
        <v>ELEKEIROZ   -ON</v>
      </c>
      <c r="R47" s="51">
        <f t="shared" si="9"/>
        <v>41705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393</v>
      </c>
      <c r="D48" s="3" t="s">
        <v>1344</v>
      </c>
      <c r="E48" s="3" t="s">
        <v>1344</v>
      </c>
      <c r="F48" s="3" t="s">
        <v>1344</v>
      </c>
      <c r="G48" s="3" t="s">
        <v>1344</v>
      </c>
      <c r="H48" s="51">
        <v>41705</v>
      </c>
      <c r="J48" s="3">
        <f t="shared" si="7"/>
        <v>9.1</v>
      </c>
      <c r="K48" s="3">
        <f t="shared" si="7"/>
        <v>9.1</v>
      </c>
      <c r="L48" s="3">
        <f t="shared" si="7"/>
        <v>9.1</v>
      </c>
      <c r="M48" s="3">
        <f t="shared" si="7"/>
        <v>9.1</v>
      </c>
      <c r="P48" s="14" t="s">
        <v>253</v>
      </c>
      <c r="Q48" s="10" t="str">
        <f t="shared" si="8"/>
        <v>ELEKEIROZ   -PN</v>
      </c>
      <c r="R48" s="51">
        <f t="shared" si="9"/>
        <v>41705</v>
      </c>
      <c r="S48" s="5">
        <f t="shared" si="10"/>
        <v>9.1</v>
      </c>
      <c r="T48" s="5">
        <f t="shared" si="11"/>
        <v>9.1</v>
      </c>
      <c r="U48" s="5">
        <f t="shared" si="12"/>
        <v>9.1</v>
      </c>
      <c r="V48" s="5">
        <f t="shared" si="13"/>
        <v>9.1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450</v>
      </c>
      <c r="D49" s="3" t="s">
        <v>426</v>
      </c>
      <c r="E49" s="3" t="s">
        <v>451</v>
      </c>
      <c r="F49" s="3" t="s">
        <v>451</v>
      </c>
      <c r="G49" s="3" t="s">
        <v>451</v>
      </c>
      <c r="H49" s="51">
        <v>41705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449</v>
      </c>
      <c r="Q49" s="10" t="str">
        <f t="shared" si="8"/>
        <v xml:space="preserve">ELETROBRAS  -PNA </v>
      </c>
      <c r="R49" s="51">
        <f t="shared" si="9"/>
        <v>41705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332</v>
      </c>
      <c r="D50" s="3" t="s">
        <v>1250</v>
      </c>
      <c r="E50" s="3" t="s">
        <v>1250</v>
      </c>
      <c r="F50" s="3" t="s">
        <v>1725</v>
      </c>
      <c r="G50" s="3" t="s">
        <v>1726</v>
      </c>
      <c r="H50" s="51">
        <v>41705</v>
      </c>
      <c r="J50" s="3">
        <f t="shared" si="7"/>
        <v>8.5</v>
      </c>
      <c r="K50" s="3">
        <f t="shared" si="7"/>
        <v>8.5</v>
      </c>
      <c r="L50" s="3">
        <f t="shared" si="7"/>
        <v>8.56</v>
      </c>
      <c r="M50" s="3">
        <f t="shared" si="7"/>
        <v>8.4499999999999993</v>
      </c>
      <c r="P50" s="15" t="s">
        <v>330</v>
      </c>
      <c r="Q50" s="10" t="str">
        <f t="shared" si="8"/>
        <v xml:space="preserve">ETERNIT     -ON  </v>
      </c>
      <c r="R50" s="46">
        <f t="shared" si="9"/>
        <v>41705</v>
      </c>
      <c r="S50" s="6">
        <f t="shared" si="10"/>
        <v>8.5</v>
      </c>
      <c r="T50" s="6">
        <f t="shared" si="11"/>
        <v>8.5</v>
      </c>
      <c r="U50" s="6">
        <f t="shared" si="12"/>
        <v>8.56</v>
      </c>
      <c r="V50" s="6">
        <f t="shared" si="13"/>
        <v>8.4499999999999993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314</v>
      </c>
      <c r="D51" s="3" t="s">
        <v>1727</v>
      </c>
      <c r="E51" s="3" t="s">
        <v>1411</v>
      </c>
      <c r="F51" s="3" t="s">
        <v>1728</v>
      </c>
      <c r="G51" s="3" t="s">
        <v>1727</v>
      </c>
      <c r="H51" s="51">
        <v>41705</v>
      </c>
      <c r="J51" s="3">
        <f t="shared" si="7"/>
        <v>5.3</v>
      </c>
      <c r="K51" s="3">
        <f t="shared" si="7"/>
        <v>5.4</v>
      </c>
      <c r="L51" s="3">
        <f t="shared" si="7"/>
        <v>5.44</v>
      </c>
      <c r="M51" s="3">
        <f t="shared" si="7"/>
        <v>5.3</v>
      </c>
      <c r="P51" s="14" t="s">
        <v>313</v>
      </c>
      <c r="Q51" s="10" t="str">
        <f t="shared" si="8"/>
        <v xml:space="preserve">EUCATEX     -PN  </v>
      </c>
      <c r="R51" s="51">
        <f t="shared" si="9"/>
        <v>41705</v>
      </c>
      <c r="S51" s="5">
        <f t="shared" si="10"/>
        <v>5.3</v>
      </c>
      <c r="T51" s="5">
        <f t="shared" si="11"/>
        <v>5.4</v>
      </c>
      <c r="U51" s="5">
        <f t="shared" si="12"/>
        <v>5.44</v>
      </c>
      <c r="V51" s="5">
        <f t="shared" si="13"/>
        <v>5.3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467</v>
      </c>
      <c r="D52" s="3" t="s">
        <v>426</v>
      </c>
      <c r="E52" s="3" t="s">
        <v>396</v>
      </c>
      <c r="F52" s="3" t="s">
        <v>396</v>
      </c>
      <c r="G52" s="3" t="s">
        <v>396</v>
      </c>
      <c r="H52" s="51">
        <v>41705</v>
      </c>
      <c r="J52" s="3" t="e">
        <f t="shared" si="7"/>
        <v>#VALUE!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466</v>
      </c>
      <c r="Q52" s="10" t="str">
        <f t="shared" si="8"/>
        <v>CELGPAR     -ON</v>
      </c>
      <c r="R52" s="51">
        <f t="shared" si="9"/>
        <v>41705</v>
      </c>
      <c r="S52" s="5" t="e">
        <f t="shared" si="10"/>
        <v>#VALUE!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294</v>
      </c>
      <c r="D53" s="3" t="s">
        <v>1417</v>
      </c>
      <c r="E53" s="3" t="s">
        <v>396</v>
      </c>
      <c r="F53" s="3" t="s">
        <v>396</v>
      </c>
      <c r="G53" s="3" t="s">
        <v>1417</v>
      </c>
      <c r="H53" s="51">
        <v>41705</v>
      </c>
      <c r="J53" s="3">
        <f t="shared" si="7"/>
        <v>14.98</v>
      </c>
      <c r="K53" s="3">
        <f t="shared" si="7"/>
        <v>15</v>
      </c>
      <c r="L53" s="3">
        <f t="shared" si="7"/>
        <v>15</v>
      </c>
      <c r="M53" s="3">
        <f t="shared" si="7"/>
        <v>14.98</v>
      </c>
      <c r="P53" s="14" t="s">
        <v>293</v>
      </c>
      <c r="Q53" s="10" t="str">
        <f t="shared" si="8"/>
        <v>HABITASUL   -PNA</v>
      </c>
      <c r="R53" s="51">
        <f t="shared" si="9"/>
        <v>41705</v>
      </c>
      <c r="S53" s="5">
        <f t="shared" si="10"/>
        <v>14.98</v>
      </c>
      <c r="T53" s="5">
        <f t="shared" si="11"/>
        <v>15</v>
      </c>
      <c r="U53" s="5">
        <f t="shared" si="12"/>
        <v>15</v>
      </c>
      <c r="V53" s="5">
        <f t="shared" si="13"/>
        <v>14.98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346</v>
      </c>
      <c r="D54" s="3" t="s">
        <v>1729</v>
      </c>
      <c r="E54" s="61" t="s">
        <v>1428</v>
      </c>
      <c r="F54" s="61" t="s">
        <v>1729</v>
      </c>
      <c r="G54" s="61" t="s">
        <v>1730</v>
      </c>
      <c r="H54" s="51">
        <v>41705</v>
      </c>
      <c r="J54" s="3">
        <f t="shared" si="7"/>
        <v>21.88</v>
      </c>
      <c r="K54" s="3">
        <f t="shared" si="7"/>
        <v>21.2</v>
      </c>
      <c r="L54" s="3">
        <f t="shared" si="7"/>
        <v>21.88</v>
      </c>
      <c r="M54" s="3">
        <f t="shared" si="7"/>
        <v>21.11</v>
      </c>
      <c r="P54" s="14" t="s">
        <v>345</v>
      </c>
      <c r="Q54" s="10" t="str">
        <f t="shared" si="8"/>
        <v xml:space="preserve">IGUATEMI    -ON  </v>
      </c>
      <c r="R54" s="51">
        <f t="shared" si="9"/>
        <v>41705</v>
      </c>
      <c r="S54" s="5">
        <f t="shared" si="10"/>
        <v>21.88</v>
      </c>
      <c r="T54" s="5">
        <f t="shared" si="11"/>
        <v>21.2</v>
      </c>
      <c r="U54" s="5">
        <f t="shared" si="12"/>
        <v>21.88</v>
      </c>
      <c r="V54" s="5">
        <f t="shared" si="13"/>
        <v>21.11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273</v>
      </c>
      <c r="D55" s="3" t="s">
        <v>1731</v>
      </c>
      <c r="E55" s="3" t="s">
        <v>1731</v>
      </c>
      <c r="F55" s="3" t="s">
        <v>1649</v>
      </c>
      <c r="G55" s="3" t="s">
        <v>1732</v>
      </c>
      <c r="H55" s="51">
        <v>41705</v>
      </c>
      <c r="J55" s="3">
        <f t="shared" si="7"/>
        <v>7.61</v>
      </c>
      <c r="K55" s="3">
        <f t="shared" si="7"/>
        <v>7.61</v>
      </c>
      <c r="L55" s="3">
        <f t="shared" si="7"/>
        <v>7.72</v>
      </c>
      <c r="M55" s="3">
        <f t="shared" si="7"/>
        <v>7.49</v>
      </c>
      <c r="P55" s="43" t="s">
        <v>272</v>
      </c>
      <c r="Q55" s="10" t="str">
        <f t="shared" si="8"/>
        <v xml:space="preserve">JBS         -ON  </v>
      </c>
      <c r="R55" s="51">
        <f t="shared" si="9"/>
        <v>41705</v>
      </c>
      <c r="S55" s="5">
        <f t="shared" si="10"/>
        <v>7.61</v>
      </c>
      <c r="T55" s="5">
        <f t="shared" si="11"/>
        <v>7.61</v>
      </c>
      <c r="U55" s="5">
        <f t="shared" si="12"/>
        <v>7.72</v>
      </c>
      <c r="V55" s="5">
        <f t="shared" si="13"/>
        <v>7.49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248</v>
      </c>
      <c r="D56" s="3" t="s">
        <v>426</v>
      </c>
      <c r="E56" s="3" t="s">
        <v>763</v>
      </c>
      <c r="F56" s="3" t="s">
        <v>763</v>
      </c>
      <c r="G56" s="3" t="s">
        <v>763</v>
      </c>
      <c r="H56" s="51">
        <v>41705</v>
      </c>
      <c r="J56" s="3" t="e">
        <f t="shared" si="7"/>
        <v>#VALUE!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246</v>
      </c>
      <c r="Q56" s="10" t="str">
        <f t="shared" si="8"/>
        <v>JOSAPAR     -ON</v>
      </c>
      <c r="R56" s="51">
        <f t="shared" si="9"/>
        <v>41705</v>
      </c>
      <c r="S56" s="5" t="e">
        <f t="shared" si="10"/>
        <v>#VALUE!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249</v>
      </c>
      <c r="D57" s="3" t="s">
        <v>426</v>
      </c>
      <c r="E57" s="3" t="s">
        <v>398</v>
      </c>
      <c r="F57" s="3" t="s">
        <v>398</v>
      </c>
      <c r="G57" s="3" t="s">
        <v>398</v>
      </c>
      <c r="H57" s="51">
        <v>41705</v>
      </c>
      <c r="J57" s="3" t="e">
        <f t="shared" si="7"/>
        <v>#VALUE!</v>
      </c>
      <c r="K57" s="3">
        <f t="shared" si="7"/>
        <v>20</v>
      </c>
      <c r="L57" s="3">
        <f t="shared" si="7"/>
        <v>20</v>
      </c>
      <c r="M57" s="3">
        <f t="shared" si="7"/>
        <v>20</v>
      </c>
      <c r="P57" s="10" t="s">
        <v>247</v>
      </c>
      <c r="Q57" s="10" t="str">
        <f t="shared" si="8"/>
        <v>JOSAPAR     -PN</v>
      </c>
      <c r="R57" s="51">
        <f t="shared" si="9"/>
        <v>41705</v>
      </c>
      <c r="S57" s="5" t="e">
        <f t="shared" si="10"/>
        <v>#VALUE!</v>
      </c>
      <c r="T57" s="5">
        <f t="shared" si="11"/>
        <v>20</v>
      </c>
      <c r="U57" s="5">
        <f t="shared" si="12"/>
        <v>20</v>
      </c>
      <c r="V57" s="5">
        <f t="shared" si="13"/>
        <v>20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307</v>
      </c>
      <c r="D58" s="3" t="s">
        <v>1552</v>
      </c>
      <c r="E58" s="3" t="s">
        <v>1388</v>
      </c>
      <c r="F58" s="3" t="s">
        <v>1416</v>
      </c>
      <c r="G58" s="3" t="s">
        <v>1552</v>
      </c>
      <c r="H58" s="51">
        <v>41705</v>
      </c>
      <c r="J58" s="3">
        <f t="shared" si="7"/>
        <v>3.81</v>
      </c>
      <c r="K58" s="3">
        <f t="shared" si="7"/>
        <v>4.0199999999999996</v>
      </c>
      <c r="L58" s="3">
        <f t="shared" si="7"/>
        <v>4.09</v>
      </c>
      <c r="M58" s="3">
        <f t="shared" si="7"/>
        <v>3.81</v>
      </c>
      <c r="P58" s="14" t="s">
        <v>306</v>
      </c>
      <c r="Q58" s="10" t="str">
        <f t="shared" si="8"/>
        <v xml:space="preserve">LOCAMERICA  -ON  </v>
      </c>
      <c r="R58" s="51">
        <f t="shared" si="9"/>
        <v>41705</v>
      </c>
      <c r="S58" s="5">
        <f t="shared" si="10"/>
        <v>3.81</v>
      </c>
      <c r="T58" s="5">
        <f t="shared" si="11"/>
        <v>4.0199999999999996</v>
      </c>
      <c r="U58" s="5">
        <f t="shared" si="12"/>
        <v>4.09</v>
      </c>
      <c r="V58" s="5">
        <f t="shared" si="13"/>
        <v>3.81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319</v>
      </c>
      <c r="D59" s="3" t="s">
        <v>1733</v>
      </c>
      <c r="E59" s="61" t="s">
        <v>741</v>
      </c>
      <c r="F59" s="61" t="s">
        <v>1396</v>
      </c>
      <c r="G59" s="61" t="s">
        <v>1378</v>
      </c>
      <c r="H59" s="51">
        <v>41705</v>
      </c>
      <c r="J59" s="3">
        <f t="shared" si="7"/>
        <v>5.65</v>
      </c>
      <c r="K59" s="3">
        <f t="shared" si="7"/>
        <v>5.5</v>
      </c>
      <c r="L59" s="3">
        <f t="shared" si="7"/>
        <v>5.7</v>
      </c>
      <c r="M59" s="3">
        <f t="shared" si="7"/>
        <v>5.49</v>
      </c>
      <c r="P59" s="14" t="s">
        <v>318</v>
      </c>
      <c r="Q59" s="10" t="str">
        <f t="shared" si="8"/>
        <v xml:space="preserve">MAGNESITA SA-ON  </v>
      </c>
      <c r="R59" s="46">
        <f t="shared" si="9"/>
        <v>41705</v>
      </c>
      <c r="S59" s="6">
        <f t="shared" si="10"/>
        <v>5.65</v>
      </c>
      <c r="T59" s="6">
        <f t="shared" si="11"/>
        <v>5.5</v>
      </c>
      <c r="U59" s="6">
        <f t="shared" si="12"/>
        <v>5.7</v>
      </c>
      <c r="V59" s="6">
        <f t="shared" si="13"/>
        <v>5.49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1418</v>
      </c>
      <c r="D60" s="3" t="s">
        <v>426</v>
      </c>
      <c r="E60" s="61">
        <v>83591</v>
      </c>
      <c r="F60" s="61">
        <v>83591</v>
      </c>
      <c r="G60" s="61">
        <v>83591</v>
      </c>
      <c r="H60" s="51">
        <v>41705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353</v>
      </c>
      <c r="Q60" s="10" t="str">
        <f t="shared" si="8"/>
        <v xml:space="preserve">MERC FINANC -ON  </v>
      </c>
      <c r="R60" s="51">
        <f t="shared" si="9"/>
        <v>41705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1419</v>
      </c>
      <c r="D61" s="3" t="s">
        <v>1250</v>
      </c>
      <c r="E61" s="3" t="s">
        <v>1250</v>
      </c>
      <c r="F61" s="3" t="s">
        <v>1250</v>
      </c>
      <c r="G61" s="3" t="s">
        <v>1250</v>
      </c>
      <c r="H61" s="51">
        <v>41705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354</v>
      </c>
      <c r="Q61" s="10" t="str">
        <f t="shared" si="8"/>
        <v xml:space="preserve">MERC FINANC -PN  </v>
      </c>
      <c r="R61" s="51">
        <f t="shared" si="9"/>
        <v>41705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923</v>
      </c>
      <c r="D62" s="3" t="s">
        <v>426</v>
      </c>
      <c r="E62" s="3" t="s">
        <v>764</v>
      </c>
      <c r="F62" s="3" t="s">
        <v>764</v>
      </c>
      <c r="G62" s="3" t="s">
        <v>764</v>
      </c>
      <c r="H62" s="51">
        <v>41705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295</v>
      </c>
      <c r="Q62" s="10" t="str">
        <f t="shared" si="8"/>
        <v>MONT ARANHA -ON</v>
      </c>
      <c r="R62" s="51">
        <f t="shared" si="9"/>
        <v>41705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348</v>
      </c>
      <c r="D63" s="3" t="s">
        <v>1734</v>
      </c>
      <c r="E63" s="3" t="s">
        <v>1735</v>
      </c>
      <c r="F63" s="3" t="s">
        <v>1736</v>
      </c>
      <c r="G63" s="3" t="s">
        <v>1737</v>
      </c>
      <c r="H63" s="51">
        <v>41705</v>
      </c>
      <c r="J63" s="3">
        <f t="shared" si="7"/>
        <v>46.47</v>
      </c>
      <c r="K63" s="3">
        <f t="shared" si="7"/>
        <v>46.37</v>
      </c>
      <c r="L63" s="3">
        <f t="shared" si="7"/>
        <v>47.31</v>
      </c>
      <c r="M63" s="3">
        <f t="shared" si="7"/>
        <v>45.93</v>
      </c>
      <c r="P63" s="14" t="s">
        <v>347</v>
      </c>
      <c r="Q63" s="10" t="str">
        <f t="shared" si="8"/>
        <v xml:space="preserve">MULTIPLAN   -ON  </v>
      </c>
      <c r="R63" s="51">
        <f t="shared" si="9"/>
        <v>41705</v>
      </c>
      <c r="S63" s="5">
        <f t="shared" si="10"/>
        <v>46.47</v>
      </c>
      <c r="T63" s="5">
        <f t="shared" si="11"/>
        <v>46.37</v>
      </c>
      <c r="U63" s="5">
        <f t="shared" si="12"/>
        <v>47.31</v>
      </c>
      <c r="V63" s="5">
        <f t="shared" si="13"/>
        <v>45.93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324</v>
      </c>
      <c r="D64" s="3" t="s">
        <v>685</v>
      </c>
      <c r="E64" s="3" t="s">
        <v>685</v>
      </c>
      <c r="F64" s="3" t="s">
        <v>685</v>
      </c>
      <c r="G64" s="3" t="s">
        <v>685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323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282</v>
      </c>
      <c r="D65" s="3" t="s">
        <v>1738</v>
      </c>
      <c r="E65" s="3" t="s">
        <v>1516</v>
      </c>
      <c r="F65" s="3" t="s">
        <v>1553</v>
      </c>
      <c r="G65" s="3" t="s">
        <v>1739</v>
      </c>
      <c r="H65" s="51">
        <v>41705</v>
      </c>
      <c r="J65" s="3">
        <f t="shared" si="7"/>
        <v>3.8</v>
      </c>
      <c r="K65" s="3">
        <f t="shared" si="7"/>
        <v>3.85</v>
      </c>
      <c r="L65" s="3">
        <f t="shared" si="7"/>
        <v>3.89</v>
      </c>
      <c r="M65" s="3">
        <f t="shared" si="7"/>
        <v>3.77</v>
      </c>
      <c r="P65" s="14" t="s">
        <v>280</v>
      </c>
      <c r="Q65" s="10" t="str">
        <f t="shared" si="8"/>
        <v xml:space="preserve">OI          -ON  </v>
      </c>
      <c r="R65" s="51">
        <f t="shared" si="9"/>
        <v>41705</v>
      </c>
      <c r="S65" s="5">
        <f t="shared" si="10"/>
        <v>3.8</v>
      </c>
      <c r="T65" s="5">
        <f t="shared" si="11"/>
        <v>3.85</v>
      </c>
      <c r="U65" s="5">
        <f t="shared" si="12"/>
        <v>3.89</v>
      </c>
      <c r="V65" s="5">
        <f t="shared" si="13"/>
        <v>3.77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283</v>
      </c>
      <c r="D66" s="3" t="s">
        <v>1740</v>
      </c>
      <c r="E66" s="3" t="s">
        <v>1397</v>
      </c>
      <c r="F66" s="3" t="s">
        <v>220</v>
      </c>
      <c r="G66" s="3" t="s">
        <v>1459</v>
      </c>
      <c r="H66" s="51">
        <v>41705</v>
      </c>
      <c r="J66" s="3">
        <f t="shared" si="7"/>
        <v>3.57</v>
      </c>
      <c r="K66" s="3">
        <f t="shared" si="7"/>
        <v>3.53</v>
      </c>
      <c r="L66" s="3">
        <f t="shared" si="7"/>
        <v>3.6</v>
      </c>
      <c r="M66" s="3">
        <f t="shared" si="7"/>
        <v>3.52</v>
      </c>
      <c r="P66" s="10" t="s">
        <v>281</v>
      </c>
      <c r="Q66" s="10" t="str">
        <f t="shared" si="8"/>
        <v xml:space="preserve">OI          -PN  </v>
      </c>
      <c r="R66" s="51">
        <f t="shared" si="9"/>
        <v>41705</v>
      </c>
      <c r="S66" s="5">
        <f t="shared" si="10"/>
        <v>3.57</v>
      </c>
      <c r="T66" s="5">
        <f t="shared" si="11"/>
        <v>3.53</v>
      </c>
      <c r="U66" s="5">
        <f t="shared" si="12"/>
        <v>3.6</v>
      </c>
      <c r="V66" s="5">
        <f t="shared" si="13"/>
        <v>3.52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327</v>
      </c>
      <c r="D67" s="3" t="s">
        <v>1389</v>
      </c>
      <c r="E67" s="3" t="s">
        <v>1389</v>
      </c>
      <c r="F67" s="3" t="s">
        <v>1389</v>
      </c>
      <c r="G67" s="3" t="s">
        <v>1389</v>
      </c>
      <c r="H67" s="51">
        <v>41705</v>
      </c>
      <c r="J67" s="3">
        <f t="shared" si="7"/>
        <v>18.559999999999999</v>
      </c>
      <c r="K67" s="3">
        <f t="shared" si="7"/>
        <v>18.559999999999999</v>
      </c>
      <c r="L67" s="3">
        <f t="shared" si="7"/>
        <v>18.559999999999999</v>
      </c>
      <c r="M67" s="3">
        <f t="shared" si="7"/>
        <v>18.559999999999999</v>
      </c>
      <c r="P67" s="14" t="s">
        <v>325</v>
      </c>
      <c r="Q67" s="10" t="str">
        <f t="shared" si="8"/>
        <v>PANATLANTICA-PN</v>
      </c>
      <c r="R67" s="51">
        <f t="shared" si="9"/>
        <v>41705</v>
      </c>
      <c r="S67" s="5">
        <f t="shared" si="10"/>
        <v>18.559999999999999</v>
      </c>
      <c r="T67" s="5">
        <f t="shared" si="11"/>
        <v>18.559999999999999</v>
      </c>
      <c r="U67" s="5">
        <f t="shared" si="12"/>
        <v>18.559999999999999</v>
      </c>
      <c r="V67" s="5">
        <f t="shared" si="13"/>
        <v>18.559999999999999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236</v>
      </c>
      <c r="D68" s="3" t="s">
        <v>1589</v>
      </c>
      <c r="E68" s="3" t="s">
        <v>1741</v>
      </c>
      <c r="F68" s="3" t="s">
        <v>1742</v>
      </c>
      <c r="G68" s="3" t="s">
        <v>1462</v>
      </c>
      <c r="H68" s="51">
        <v>41705</v>
      </c>
      <c r="J68" s="3">
        <f t="shared" si="7"/>
        <v>12.9</v>
      </c>
      <c r="K68" s="3">
        <f t="shared" si="7"/>
        <v>12.73</v>
      </c>
      <c r="L68" s="3">
        <f t="shared" si="7"/>
        <v>13.19</v>
      </c>
      <c r="M68" s="3">
        <f t="shared" si="7"/>
        <v>12.7</v>
      </c>
      <c r="P68" s="14" t="s">
        <v>20</v>
      </c>
      <c r="Q68" s="10" t="str">
        <f t="shared" si="8"/>
        <v>PETROBRAS   -ON</v>
      </c>
      <c r="R68" s="51">
        <f t="shared" si="9"/>
        <v>41705</v>
      </c>
      <c r="S68" s="5">
        <f t="shared" si="10"/>
        <v>12.9</v>
      </c>
      <c r="T68" s="5">
        <f t="shared" si="11"/>
        <v>12.73</v>
      </c>
      <c r="U68" s="5">
        <f t="shared" si="12"/>
        <v>13.19</v>
      </c>
      <c r="V68" s="5">
        <f t="shared" si="13"/>
        <v>12.7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233</v>
      </c>
      <c r="D69" s="3" t="s">
        <v>1743</v>
      </c>
      <c r="E69" s="3" t="s">
        <v>1535</v>
      </c>
      <c r="F69" s="3" t="s">
        <v>1744</v>
      </c>
      <c r="G69" s="3" t="s">
        <v>1531</v>
      </c>
      <c r="H69" s="51">
        <v>41705</v>
      </c>
      <c r="J69" s="3">
        <f t="shared" si="7"/>
        <v>13.43</v>
      </c>
      <c r="K69" s="3">
        <f t="shared" si="7"/>
        <v>13.3</v>
      </c>
      <c r="L69" s="3">
        <f t="shared" si="7"/>
        <v>13.62</v>
      </c>
      <c r="M69" s="3">
        <f t="shared" si="7"/>
        <v>13.28</v>
      </c>
      <c r="P69" s="14" t="s">
        <v>21</v>
      </c>
      <c r="Q69" s="10" t="str">
        <f t="shared" si="8"/>
        <v>PETROBRAS   -PN</v>
      </c>
      <c r="R69" s="51">
        <f t="shared" si="9"/>
        <v>41705</v>
      </c>
      <c r="S69" s="5">
        <f t="shared" si="10"/>
        <v>13.43</v>
      </c>
      <c r="T69" s="5">
        <f t="shared" si="11"/>
        <v>13.3</v>
      </c>
      <c r="U69" s="5">
        <f t="shared" si="12"/>
        <v>13.62</v>
      </c>
      <c r="V69" s="5">
        <f t="shared" si="13"/>
        <v>13.28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317</v>
      </c>
      <c r="D70" s="3" t="s">
        <v>1391</v>
      </c>
      <c r="E70" s="3" t="s">
        <v>1614</v>
      </c>
      <c r="F70" s="3" t="s">
        <v>1614</v>
      </c>
      <c r="G70" s="3" t="s">
        <v>1745</v>
      </c>
      <c r="H70" s="51">
        <v>41705</v>
      </c>
      <c r="J70" s="3">
        <f t="shared" si="7"/>
        <v>7.85</v>
      </c>
      <c r="K70" s="3">
        <f t="shared" si="7"/>
        <v>7.95</v>
      </c>
      <c r="L70" s="3">
        <f t="shared" si="7"/>
        <v>7.95</v>
      </c>
      <c r="M70" s="3">
        <f t="shared" si="7"/>
        <v>7.82</v>
      </c>
      <c r="P70" s="14" t="s">
        <v>316</v>
      </c>
      <c r="Q70" s="10" t="str">
        <f t="shared" si="8"/>
        <v xml:space="preserve">PROVIDENCIA -ON  </v>
      </c>
      <c r="R70" s="51">
        <f t="shared" si="9"/>
        <v>41705</v>
      </c>
      <c r="S70" s="5">
        <f t="shared" si="10"/>
        <v>7.85</v>
      </c>
      <c r="T70" s="5">
        <f t="shared" si="11"/>
        <v>7.95</v>
      </c>
      <c r="U70" s="5">
        <f t="shared" si="12"/>
        <v>7.95</v>
      </c>
      <c r="V70" s="5">
        <f t="shared" si="13"/>
        <v>7.82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394</v>
      </c>
      <c r="D71" s="3" t="s">
        <v>1420</v>
      </c>
      <c r="E71" s="3" t="s">
        <v>633</v>
      </c>
      <c r="F71" s="3" t="s">
        <v>633</v>
      </c>
      <c r="G71" s="3" t="s">
        <v>1420</v>
      </c>
      <c r="H71" s="51">
        <v>41705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308</v>
      </c>
      <c r="Q71" s="10" t="str">
        <f t="shared" ref="Q71:Q102" si="14">IF(A71="","",C71)</f>
        <v>EVORA       -PN</v>
      </c>
      <c r="R71" s="46">
        <f t="shared" ref="R71:R102" si="15">IF(A71="","",H71)</f>
        <v>41705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239</v>
      </c>
      <c r="D72" s="3" t="s">
        <v>1746</v>
      </c>
      <c r="E72" s="3" t="s">
        <v>1747</v>
      </c>
      <c r="F72" s="3" t="s">
        <v>1383</v>
      </c>
      <c r="G72" s="3" t="s">
        <v>1548</v>
      </c>
      <c r="H72" s="51">
        <v>41705</v>
      </c>
      <c r="J72" s="3">
        <f t="shared" ref="J72:M135" si="20">IF($A72="",0,VALUE(CONCATENATE(LEFT(D72,LEN(D72)-3),",",RIGHT(D72,2))))</f>
        <v>8.17</v>
      </c>
      <c r="K72" s="3">
        <f t="shared" si="20"/>
        <v>8.0299999999999994</v>
      </c>
      <c r="L72" s="3">
        <f t="shared" si="20"/>
        <v>8.32</v>
      </c>
      <c r="M72" s="3">
        <f t="shared" si="20"/>
        <v>7.98</v>
      </c>
      <c r="P72" s="15" t="s">
        <v>238</v>
      </c>
      <c r="Q72" s="10" t="str">
        <f t="shared" si="14"/>
        <v xml:space="preserve">QGEP PART   -ON  </v>
      </c>
      <c r="R72" s="51">
        <f t="shared" si="15"/>
        <v>41705</v>
      </c>
      <c r="S72" s="5">
        <f t="shared" si="16"/>
        <v>8.17</v>
      </c>
      <c r="T72" s="5">
        <f t="shared" si="17"/>
        <v>8.0299999999999994</v>
      </c>
      <c r="U72" s="5">
        <f t="shared" si="18"/>
        <v>8.32</v>
      </c>
      <c r="V72" s="5">
        <f t="shared" si="19"/>
        <v>7.98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352</v>
      </c>
      <c r="D73" s="3" t="s">
        <v>1748</v>
      </c>
      <c r="E73" s="3" t="s">
        <v>1749</v>
      </c>
      <c r="F73" s="3" t="s">
        <v>1750</v>
      </c>
      <c r="G73" s="3" t="s">
        <v>1751</v>
      </c>
      <c r="H73" s="51">
        <v>41705</v>
      </c>
      <c r="J73" s="3">
        <f t="shared" si="20"/>
        <v>35.47</v>
      </c>
      <c r="K73" s="3">
        <f t="shared" si="20"/>
        <v>35.159999999999997</v>
      </c>
      <c r="L73" s="3">
        <f t="shared" si="20"/>
        <v>35.590000000000003</v>
      </c>
      <c r="M73" s="3">
        <f t="shared" si="20"/>
        <v>34.92</v>
      </c>
      <c r="P73" s="14" t="s">
        <v>350</v>
      </c>
      <c r="Q73" s="10" t="str">
        <f t="shared" si="14"/>
        <v xml:space="preserve">SAO CARLOS  -ON  </v>
      </c>
      <c r="R73" s="51">
        <f t="shared" si="15"/>
        <v>41705</v>
      </c>
      <c r="S73" s="5">
        <f t="shared" si="16"/>
        <v>35.47</v>
      </c>
      <c r="T73" s="5">
        <f t="shared" si="17"/>
        <v>35.159999999999997</v>
      </c>
      <c r="U73" s="5">
        <f t="shared" si="18"/>
        <v>35.590000000000003</v>
      </c>
      <c r="V73" s="5">
        <f t="shared" si="19"/>
        <v>34.92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264</v>
      </c>
      <c r="D74" s="3" t="s">
        <v>1752</v>
      </c>
      <c r="E74" s="3" t="s">
        <v>1753</v>
      </c>
      <c r="F74" s="3" t="s">
        <v>1752</v>
      </c>
      <c r="G74" s="3" t="s">
        <v>1753</v>
      </c>
      <c r="H74" s="51">
        <v>41705</v>
      </c>
      <c r="J74" s="3">
        <f t="shared" si="20"/>
        <v>30.29</v>
      </c>
      <c r="K74" s="3">
        <f t="shared" si="20"/>
        <v>29.53</v>
      </c>
      <c r="L74" s="3">
        <f t="shared" si="20"/>
        <v>30.29</v>
      </c>
      <c r="M74" s="3">
        <f t="shared" si="20"/>
        <v>29.53</v>
      </c>
      <c r="P74" s="15" t="s">
        <v>263</v>
      </c>
      <c r="Q74" s="10" t="str">
        <f t="shared" si="14"/>
        <v xml:space="preserve">SAO MARTINHO-ON  </v>
      </c>
      <c r="R74" s="51">
        <f t="shared" si="15"/>
        <v>41705</v>
      </c>
      <c r="S74" s="5">
        <f t="shared" si="16"/>
        <v>30.29</v>
      </c>
      <c r="T74" s="5">
        <f t="shared" si="17"/>
        <v>29.53</v>
      </c>
      <c r="U74" s="5">
        <f t="shared" si="18"/>
        <v>30.29</v>
      </c>
      <c r="V74" s="5">
        <f t="shared" si="19"/>
        <v>29.53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351</v>
      </c>
      <c r="D75" s="3" t="s">
        <v>1754</v>
      </c>
      <c r="E75" s="3" t="s">
        <v>1755</v>
      </c>
      <c r="F75" s="3" t="s">
        <v>1756</v>
      </c>
      <c r="G75" s="3" t="s">
        <v>1757</v>
      </c>
      <c r="H75" s="51">
        <v>41705</v>
      </c>
      <c r="J75" s="3">
        <f t="shared" si="20"/>
        <v>15.71</v>
      </c>
      <c r="K75" s="3">
        <f t="shared" si="20"/>
        <v>15.55</v>
      </c>
      <c r="L75" s="3">
        <f t="shared" si="20"/>
        <v>15.84</v>
      </c>
      <c r="M75" s="3">
        <f t="shared" si="20"/>
        <v>15.51</v>
      </c>
      <c r="P75" s="14" t="s">
        <v>349</v>
      </c>
      <c r="Q75" s="10" t="str">
        <f t="shared" si="14"/>
        <v xml:space="preserve">SIERRABRASIL-ON  </v>
      </c>
      <c r="R75" s="51">
        <f t="shared" si="15"/>
        <v>41705</v>
      </c>
      <c r="S75" s="5">
        <f t="shared" si="16"/>
        <v>15.71</v>
      </c>
      <c r="T75" s="5">
        <f t="shared" si="17"/>
        <v>15.55</v>
      </c>
      <c r="U75" s="5">
        <f t="shared" si="18"/>
        <v>15.84</v>
      </c>
      <c r="V75" s="5">
        <f t="shared" si="19"/>
        <v>15.51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240</v>
      </c>
      <c r="D76" s="3" t="s">
        <v>1758</v>
      </c>
      <c r="E76" s="3" t="s">
        <v>1759</v>
      </c>
      <c r="F76" s="3" t="s">
        <v>1628</v>
      </c>
      <c r="G76" s="3" t="s">
        <v>1435</v>
      </c>
      <c r="H76" s="51">
        <v>41705</v>
      </c>
      <c r="J76" s="3">
        <f t="shared" si="20"/>
        <v>14.99</v>
      </c>
      <c r="K76" s="3">
        <f t="shared" si="20"/>
        <v>14.35</v>
      </c>
      <c r="L76" s="3">
        <f t="shared" si="20"/>
        <v>15.01</v>
      </c>
      <c r="M76" s="3">
        <f t="shared" si="20"/>
        <v>14.31</v>
      </c>
      <c r="P76" s="14" t="s">
        <v>57</v>
      </c>
      <c r="Q76" s="10" t="str">
        <f t="shared" si="14"/>
        <v xml:space="preserve">SUL AMERICA -UNT </v>
      </c>
      <c r="R76" s="51">
        <f t="shared" si="15"/>
        <v>41705</v>
      </c>
      <c r="S76" s="5">
        <f t="shared" si="16"/>
        <v>14.99</v>
      </c>
      <c r="T76" s="5">
        <f t="shared" si="17"/>
        <v>14.35</v>
      </c>
      <c r="U76" s="5">
        <f t="shared" si="18"/>
        <v>15.01</v>
      </c>
      <c r="V76" s="5">
        <f t="shared" si="19"/>
        <v>14.31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250</v>
      </c>
      <c r="D77" s="3" t="s">
        <v>661</v>
      </c>
      <c r="E77" s="3" t="s">
        <v>1621</v>
      </c>
      <c r="F77" s="3" t="s">
        <v>661</v>
      </c>
      <c r="G77" s="3" t="s">
        <v>1760</v>
      </c>
      <c r="H77" s="51">
        <v>41705</v>
      </c>
      <c r="J77" s="3">
        <f t="shared" si="20"/>
        <v>2</v>
      </c>
      <c r="K77" s="3">
        <f t="shared" si="20"/>
        <v>1.9</v>
      </c>
      <c r="L77" s="3">
        <f t="shared" si="20"/>
        <v>2</v>
      </c>
      <c r="M77" s="3">
        <f t="shared" si="20"/>
        <v>1.89</v>
      </c>
      <c r="P77" s="15" t="s">
        <v>78</v>
      </c>
      <c r="Q77" s="10" t="str">
        <f t="shared" si="14"/>
        <v xml:space="preserve">TEREOS      -ON  </v>
      </c>
      <c r="R77" s="51">
        <f t="shared" si="15"/>
        <v>41705</v>
      </c>
      <c r="S77" s="5">
        <f t="shared" si="16"/>
        <v>2</v>
      </c>
      <c r="T77" s="5">
        <f t="shared" si="17"/>
        <v>1.9</v>
      </c>
      <c r="U77" s="5">
        <f t="shared" si="18"/>
        <v>2</v>
      </c>
      <c r="V77" s="5">
        <f t="shared" si="19"/>
        <v>1.89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279</v>
      </c>
      <c r="D78" s="3" t="s">
        <v>1410</v>
      </c>
      <c r="E78" s="3" t="s">
        <v>742</v>
      </c>
      <c r="F78" s="3" t="s">
        <v>1761</v>
      </c>
      <c r="G78" s="3" t="s">
        <v>1421</v>
      </c>
      <c r="H78" s="51">
        <v>41705</v>
      </c>
      <c r="J78" s="3">
        <f t="shared" si="20"/>
        <v>11.48</v>
      </c>
      <c r="K78" s="3">
        <f t="shared" si="20"/>
        <v>11.5</v>
      </c>
      <c r="L78" s="3">
        <f t="shared" si="20"/>
        <v>11.69</v>
      </c>
      <c r="M78" s="3">
        <f t="shared" si="20"/>
        <v>11.33</v>
      </c>
      <c r="P78" s="15" t="s">
        <v>277</v>
      </c>
      <c r="Q78" s="10" t="str">
        <f t="shared" si="14"/>
        <v xml:space="preserve">TIM PART S/A-ON  </v>
      </c>
      <c r="R78" s="51">
        <f t="shared" si="15"/>
        <v>41705</v>
      </c>
      <c r="S78" s="5">
        <f t="shared" si="16"/>
        <v>11.48</v>
      </c>
      <c r="T78" s="5">
        <f t="shared" si="17"/>
        <v>11.5</v>
      </c>
      <c r="U78" s="5">
        <f t="shared" si="18"/>
        <v>11.69</v>
      </c>
      <c r="V78" s="5">
        <f t="shared" si="19"/>
        <v>11.33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329</v>
      </c>
      <c r="D79" s="3" t="s">
        <v>426</v>
      </c>
      <c r="E79" s="3" t="s">
        <v>1252</v>
      </c>
      <c r="F79" s="3" t="s">
        <v>1252</v>
      </c>
      <c r="G79" s="3" t="s">
        <v>1252</v>
      </c>
      <c r="H79" s="51">
        <v>41705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328</v>
      </c>
      <c r="Q79" s="10" t="str">
        <f t="shared" si="14"/>
        <v>TEKNO       -PN</v>
      </c>
      <c r="R79" s="51">
        <f t="shared" si="15"/>
        <v>41705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364</v>
      </c>
      <c r="D80" s="3" t="s">
        <v>1530</v>
      </c>
      <c r="E80" s="3" t="s">
        <v>1394</v>
      </c>
      <c r="F80" s="3" t="s">
        <v>1530</v>
      </c>
      <c r="G80" s="3" t="s">
        <v>1462</v>
      </c>
      <c r="H80" s="51">
        <v>41705</v>
      </c>
      <c r="J80" s="3">
        <f t="shared" si="20"/>
        <v>13</v>
      </c>
      <c r="K80" s="3">
        <f t="shared" si="20"/>
        <v>12.75</v>
      </c>
      <c r="L80" s="3">
        <f t="shared" si="20"/>
        <v>13</v>
      </c>
      <c r="M80" s="3">
        <f t="shared" si="20"/>
        <v>12.7</v>
      </c>
      <c r="P80" s="15" t="s">
        <v>362</v>
      </c>
      <c r="Q80" s="10" t="str">
        <f t="shared" si="14"/>
        <v xml:space="preserve">TARPON INV  -ON  </v>
      </c>
      <c r="R80" s="51">
        <f t="shared" si="15"/>
        <v>41705</v>
      </c>
      <c r="S80" s="5">
        <f t="shared" si="16"/>
        <v>13</v>
      </c>
      <c r="T80" s="5">
        <f t="shared" si="17"/>
        <v>12.75</v>
      </c>
      <c r="U80" s="5">
        <f t="shared" si="18"/>
        <v>13</v>
      </c>
      <c r="V80" s="5">
        <f t="shared" si="19"/>
        <v>12.7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297</v>
      </c>
      <c r="D81" s="3" t="s">
        <v>1762</v>
      </c>
      <c r="E81" s="3" t="s">
        <v>1763</v>
      </c>
      <c r="F81" s="3" t="s">
        <v>1764</v>
      </c>
      <c r="G81" s="3" t="s">
        <v>1765</v>
      </c>
      <c r="H81" s="51">
        <v>41705</v>
      </c>
      <c r="J81" s="3">
        <f t="shared" si="20"/>
        <v>51.94</v>
      </c>
      <c r="K81" s="3">
        <f t="shared" si="20"/>
        <v>52.09</v>
      </c>
      <c r="L81" s="3">
        <f t="shared" si="20"/>
        <v>53.3</v>
      </c>
      <c r="M81" s="3">
        <f t="shared" si="20"/>
        <v>51.79</v>
      </c>
      <c r="P81" s="14" t="s">
        <v>296</v>
      </c>
      <c r="Q81" s="10" t="str">
        <f t="shared" si="14"/>
        <v xml:space="preserve">ULTRAPAR    -ON  </v>
      </c>
      <c r="R81" s="51">
        <f t="shared" si="15"/>
        <v>41705</v>
      </c>
      <c r="S81" s="5">
        <f t="shared" si="16"/>
        <v>51.94</v>
      </c>
      <c r="T81" s="5">
        <f t="shared" si="17"/>
        <v>52.09</v>
      </c>
      <c r="U81" s="5">
        <f t="shared" si="18"/>
        <v>53.3</v>
      </c>
      <c r="V81" s="5">
        <f t="shared" si="19"/>
        <v>51.79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415</v>
      </c>
      <c r="D82" s="3" t="s">
        <v>1520</v>
      </c>
      <c r="E82" s="3" t="s">
        <v>1520</v>
      </c>
      <c r="F82" s="3" t="s">
        <v>1520</v>
      </c>
      <c r="G82" s="3" t="s">
        <v>1520</v>
      </c>
      <c r="H82" s="51">
        <v>41705</v>
      </c>
      <c r="J82" s="3">
        <f t="shared" si="20"/>
        <v>0.57999999999999996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0.57999999999999996</v>
      </c>
      <c r="P82" s="14" t="s">
        <v>414</v>
      </c>
      <c r="Q82" s="10" t="str">
        <f t="shared" si="14"/>
        <v>UNIPAR      -ON</v>
      </c>
      <c r="R82" s="51">
        <f t="shared" si="15"/>
        <v>41705</v>
      </c>
      <c r="S82" s="5">
        <f t="shared" si="16"/>
        <v>0.57999999999999996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0.57999999999999996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322</v>
      </c>
      <c r="D83" s="3" t="s">
        <v>1567</v>
      </c>
      <c r="E83" s="3" t="s">
        <v>1766</v>
      </c>
      <c r="F83" s="3" t="s">
        <v>1767</v>
      </c>
      <c r="G83" s="3" t="s">
        <v>1768</v>
      </c>
      <c r="H83" s="51">
        <v>41705</v>
      </c>
      <c r="J83" s="3">
        <f t="shared" si="20"/>
        <v>27.85</v>
      </c>
      <c r="K83" s="3">
        <f t="shared" si="20"/>
        <v>27.08</v>
      </c>
      <c r="L83" s="3">
        <f t="shared" si="20"/>
        <v>27.95</v>
      </c>
      <c r="M83" s="3">
        <f t="shared" si="20"/>
        <v>26.98</v>
      </c>
      <c r="P83" s="14" t="s">
        <v>321</v>
      </c>
      <c r="Q83" s="10" t="str">
        <f t="shared" si="14"/>
        <v xml:space="preserve">VALE        -PNA </v>
      </c>
      <c r="R83" s="46">
        <f t="shared" si="15"/>
        <v>41705</v>
      </c>
      <c r="S83" s="6">
        <f t="shared" si="16"/>
        <v>27.85</v>
      </c>
      <c r="T83" s="6">
        <f t="shared" si="17"/>
        <v>27.08</v>
      </c>
      <c r="U83" s="6">
        <f t="shared" si="18"/>
        <v>27.95</v>
      </c>
      <c r="V83" s="6">
        <f t="shared" si="19"/>
        <v>26.98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275</v>
      </c>
      <c r="D84" s="3" t="s">
        <v>426</v>
      </c>
      <c r="E84" s="3" t="s">
        <v>897</v>
      </c>
      <c r="F84" s="3" t="s">
        <v>897</v>
      </c>
      <c r="G84" s="3" t="s">
        <v>897</v>
      </c>
      <c r="H84" s="51">
        <v>41705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274</v>
      </c>
      <c r="Q84" s="10" t="str">
        <f t="shared" si="14"/>
        <v xml:space="preserve">VIGOR FOOD  -ON  </v>
      </c>
      <c r="R84" s="51">
        <f t="shared" si="15"/>
        <v>41705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634</v>
      </c>
      <c r="D85" s="3" t="s">
        <v>1769</v>
      </c>
      <c r="E85" s="3" t="s">
        <v>1770</v>
      </c>
      <c r="F85" s="3" t="s">
        <v>1770</v>
      </c>
      <c r="G85" s="3" t="s">
        <v>1771</v>
      </c>
      <c r="H85" s="51">
        <v>41705</v>
      </c>
      <c r="J85" s="3">
        <f t="shared" si="20"/>
        <v>38.229999999999997</v>
      </c>
      <c r="K85" s="3">
        <f t="shared" si="20"/>
        <v>38.6</v>
      </c>
      <c r="L85" s="3">
        <f t="shared" si="20"/>
        <v>38.6</v>
      </c>
      <c r="M85" s="3">
        <f t="shared" si="20"/>
        <v>38.200000000000003</v>
      </c>
      <c r="P85" s="15" t="s">
        <v>285</v>
      </c>
      <c r="Q85" s="10" t="str">
        <f t="shared" si="14"/>
        <v>TELEF BRASIL-ON</v>
      </c>
      <c r="R85" s="51">
        <f t="shared" si="15"/>
        <v>41705</v>
      </c>
      <c r="S85" s="5">
        <f t="shared" si="16"/>
        <v>38.229999999999997</v>
      </c>
      <c r="T85" s="5">
        <f t="shared" si="17"/>
        <v>38.6</v>
      </c>
      <c r="U85" s="5">
        <f t="shared" si="18"/>
        <v>38.6</v>
      </c>
      <c r="V85" s="5">
        <f t="shared" si="19"/>
        <v>38.200000000000003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635</v>
      </c>
      <c r="D86" s="3" t="s">
        <v>1772</v>
      </c>
      <c r="E86" s="3" t="s">
        <v>1773</v>
      </c>
      <c r="F86" s="3" t="s">
        <v>1774</v>
      </c>
      <c r="G86" s="3" t="s">
        <v>1775</v>
      </c>
      <c r="H86" s="51">
        <v>41705</v>
      </c>
      <c r="J86" s="3">
        <f t="shared" si="20"/>
        <v>44.19</v>
      </c>
      <c r="K86" s="3">
        <f t="shared" si="20"/>
        <v>44.57</v>
      </c>
      <c r="L86" s="3">
        <f t="shared" si="20"/>
        <v>44.88</v>
      </c>
      <c r="M86" s="3">
        <f t="shared" si="20"/>
        <v>43.88</v>
      </c>
      <c r="P86" s="15" t="s">
        <v>286</v>
      </c>
      <c r="Q86" s="10" t="str">
        <f t="shared" si="14"/>
        <v>TELEF BRASIL-PN</v>
      </c>
      <c r="R86" s="51">
        <f t="shared" si="15"/>
        <v>41705</v>
      </c>
      <c r="S86" s="5">
        <f t="shared" si="16"/>
        <v>44.19</v>
      </c>
      <c r="T86" s="5">
        <f t="shared" si="17"/>
        <v>44.57</v>
      </c>
      <c r="U86" s="5">
        <f t="shared" si="18"/>
        <v>44.88</v>
      </c>
      <c r="V86" s="5">
        <f t="shared" si="19"/>
        <v>43.88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470</v>
      </c>
      <c r="D87" s="3" t="s">
        <v>426</v>
      </c>
      <c r="E87" s="3" t="s">
        <v>471</v>
      </c>
      <c r="F87" s="3" t="s">
        <v>471</v>
      </c>
      <c r="G87" s="3" t="s">
        <v>471</v>
      </c>
      <c r="H87" s="51">
        <v>41705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469</v>
      </c>
      <c r="Q87" s="10" t="str">
        <f t="shared" si="14"/>
        <v>CELPE       -ON</v>
      </c>
      <c r="R87" s="51">
        <f t="shared" si="15"/>
        <v>41705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473</v>
      </c>
      <c r="D88" s="3" t="s">
        <v>426</v>
      </c>
      <c r="E88" s="3" t="s">
        <v>474</v>
      </c>
      <c r="F88" s="3" t="s">
        <v>474</v>
      </c>
      <c r="G88" s="3" t="s">
        <v>474</v>
      </c>
      <c r="H88" s="51">
        <v>41705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472</v>
      </c>
      <c r="Q88" s="10" t="str">
        <f t="shared" si="14"/>
        <v>COELCE      -PNB</v>
      </c>
      <c r="R88" s="51">
        <f t="shared" si="15"/>
        <v>41705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477</v>
      </c>
      <c r="D89" s="3" t="s">
        <v>426</v>
      </c>
      <c r="E89" s="3" t="s">
        <v>427</v>
      </c>
      <c r="F89" s="3" t="s">
        <v>426</v>
      </c>
      <c r="G89" s="3" t="s">
        <v>426</v>
      </c>
      <c r="H89" s="51" t="s">
        <v>426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475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478</v>
      </c>
      <c r="D90" s="3" t="s">
        <v>426</v>
      </c>
      <c r="E90" s="3" t="s">
        <v>427</v>
      </c>
      <c r="F90" s="3" t="s">
        <v>426</v>
      </c>
      <c r="G90" s="3" t="s">
        <v>426</v>
      </c>
      <c r="H90" s="51" t="s">
        <v>426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476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481</v>
      </c>
      <c r="D91" s="3" t="s">
        <v>426</v>
      </c>
      <c r="E91" s="3" t="s">
        <v>462</v>
      </c>
      <c r="F91" s="3" t="s">
        <v>462</v>
      </c>
      <c r="G91" s="3" t="s">
        <v>462</v>
      </c>
      <c r="H91" s="51">
        <v>41705</v>
      </c>
      <c r="J91" s="3" t="e">
        <f t="shared" si="20"/>
        <v>#VALUE!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479</v>
      </c>
      <c r="Q91" s="10" t="str">
        <f t="shared" si="14"/>
        <v xml:space="preserve">CEEE-D      -ON  </v>
      </c>
      <c r="R91" s="51">
        <f t="shared" si="15"/>
        <v>41705</v>
      </c>
      <c r="S91" s="5" t="e">
        <f t="shared" si="16"/>
        <v>#VALUE!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482</v>
      </c>
      <c r="D92" s="3" t="s">
        <v>426</v>
      </c>
      <c r="E92" s="3" t="s">
        <v>483</v>
      </c>
      <c r="F92" s="3" t="s">
        <v>483</v>
      </c>
      <c r="G92" s="3" t="s">
        <v>483</v>
      </c>
      <c r="H92" s="51">
        <v>41705</v>
      </c>
      <c r="J92" s="3" t="e">
        <f t="shared" si="20"/>
        <v>#VALUE!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480</v>
      </c>
      <c r="Q92" s="10" t="str">
        <f t="shared" si="14"/>
        <v xml:space="preserve">CEEE-D      -PN  </v>
      </c>
      <c r="R92" s="51">
        <f t="shared" si="15"/>
        <v>41705</v>
      </c>
      <c r="S92" s="5" t="e">
        <f t="shared" si="16"/>
        <v>#VALUE!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486</v>
      </c>
      <c r="D93" s="3" t="s">
        <v>426</v>
      </c>
      <c r="E93" s="3" t="s">
        <v>424</v>
      </c>
      <c r="F93" s="3" t="s">
        <v>424</v>
      </c>
      <c r="G93" s="3" t="s">
        <v>424</v>
      </c>
      <c r="H93" s="51">
        <v>41705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484</v>
      </c>
      <c r="Q93" s="10" t="str">
        <f t="shared" si="14"/>
        <v>ELEKTRO     -ON</v>
      </c>
      <c r="R93" s="51">
        <f t="shared" si="15"/>
        <v>41705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487</v>
      </c>
      <c r="D94" s="3" t="s">
        <v>1356</v>
      </c>
      <c r="E94" s="3" t="s">
        <v>1356</v>
      </c>
      <c r="F94" s="3" t="s">
        <v>1356</v>
      </c>
      <c r="G94" s="3" t="s">
        <v>1356</v>
      </c>
      <c r="H94" s="51">
        <v>41705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485</v>
      </c>
      <c r="Q94" s="10" t="str">
        <f t="shared" si="14"/>
        <v>ELEKTRO     -PN</v>
      </c>
      <c r="R94" s="51">
        <f t="shared" si="15"/>
        <v>41705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490</v>
      </c>
      <c r="D95" s="3" t="s">
        <v>1115</v>
      </c>
      <c r="E95" s="3" t="s">
        <v>1760</v>
      </c>
      <c r="F95" s="3" t="s">
        <v>1470</v>
      </c>
      <c r="G95" s="3" t="s">
        <v>1760</v>
      </c>
      <c r="H95" s="51">
        <v>41705</v>
      </c>
      <c r="J95" s="3">
        <f t="shared" si="20"/>
        <v>1.95</v>
      </c>
      <c r="K95" s="3">
        <f t="shared" si="20"/>
        <v>1.89</v>
      </c>
      <c r="L95" s="3">
        <f t="shared" si="20"/>
        <v>1.99</v>
      </c>
      <c r="M95" s="3">
        <f t="shared" si="20"/>
        <v>1.89</v>
      </c>
      <c r="P95" s="14" t="s">
        <v>489</v>
      </c>
      <c r="Q95" s="10" t="str">
        <f t="shared" si="14"/>
        <v xml:space="preserve">ENEVA       -ON  </v>
      </c>
      <c r="R95" s="51">
        <f t="shared" si="15"/>
        <v>41705</v>
      </c>
      <c r="S95" s="5">
        <f t="shared" si="16"/>
        <v>1.95</v>
      </c>
      <c r="T95" s="5">
        <f t="shared" si="17"/>
        <v>1.89</v>
      </c>
      <c r="U95" s="5">
        <f t="shared" si="18"/>
        <v>1.99</v>
      </c>
      <c r="V95" s="5">
        <f t="shared" si="19"/>
        <v>1.89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493</v>
      </c>
      <c r="D96" s="3" t="s">
        <v>1776</v>
      </c>
      <c r="E96" s="3" t="s">
        <v>1777</v>
      </c>
      <c r="F96" s="3" t="s">
        <v>1776</v>
      </c>
      <c r="G96" s="3" t="s">
        <v>1777</v>
      </c>
      <c r="H96" s="51">
        <v>41705</v>
      </c>
      <c r="J96" s="3">
        <f t="shared" si="20"/>
        <v>0.95</v>
      </c>
      <c r="K96" s="3">
        <f t="shared" si="20"/>
        <v>0.9</v>
      </c>
      <c r="L96" s="3">
        <f t="shared" si="20"/>
        <v>0.95</v>
      </c>
      <c r="M96" s="3">
        <f t="shared" si="20"/>
        <v>0.9</v>
      </c>
      <c r="P96" s="14" t="s">
        <v>491</v>
      </c>
      <c r="Q96" s="10" t="str">
        <f t="shared" si="14"/>
        <v>REDE ENERGIA-ON</v>
      </c>
      <c r="R96" s="51">
        <f t="shared" si="15"/>
        <v>41705</v>
      </c>
      <c r="S96" s="5">
        <f t="shared" si="16"/>
        <v>0.95</v>
      </c>
      <c r="T96" s="5">
        <f t="shared" si="17"/>
        <v>0.9</v>
      </c>
      <c r="U96" s="5">
        <f t="shared" si="18"/>
        <v>0.95</v>
      </c>
      <c r="V96" s="5">
        <f t="shared" si="19"/>
        <v>0.9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494</v>
      </c>
      <c r="D97" s="3" t="s">
        <v>1777</v>
      </c>
      <c r="E97" s="3" t="s">
        <v>1777</v>
      </c>
      <c r="F97" s="3" t="s">
        <v>1777</v>
      </c>
      <c r="G97" s="3" t="s">
        <v>1777</v>
      </c>
      <c r="H97" s="51">
        <v>41705</v>
      </c>
      <c r="J97" s="3">
        <f t="shared" si="20"/>
        <v>0.9</v>
      </c>
      <c r="K97" s="3">
        <f t="shared" si="20"/>
        <v>0.9</v>
      </c>
      <c r="L97" s="3">
        <f t="shared" si="20"/>
        <v>0.9</v>
      </c>
      <c r="M97" s="3">
        <f t="shared" si="20"/>
        <v>0.9</v>
      </c>
      <c r="P97" s="15" t="s">
        <v>492</v>
      </c>
      <c r="Q97" s="10" t="str">
        <f t="shared" si="14"/>
        <v>REDE ENERGIA-PN</v>
      </c>
      <c r="R97" s="51">
        <f t="shared" si="15"/>
        <v>41705</v>
      </c>
      <c r="S97" s="5">
        <f t="shared" si="16"/>
        <v>0.9</v>
      </c>
      <c r="T97" s="5">
        <f t="shared" si="17"/>
        <v>0.9</v>
      </c>
      <c r="U97" s="5">
        <f t="shared" si="18"/>
        <v>0.9</v>
      </c>
      <c r="V97" s="5">
        <f t="shared" si="19"/>
        <v>0.9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498</v>
      </c>
      <c r="D98" s="3" t="s">
        <v>1778</v>
      </c>
      <c r="E98" s="3" t="s">
        <v>1778</v>
      </c>
      <c r="F98" s="3" t="s">
        <v>1778</v>
      </c>
      <c r="G98" s="3" t="s">
        <v>1778</v>
      </c>
      <c r="H98" s="51">
        <v>41705</v>
      </c>
      <c r="J98" s="3">
        <f t="shared" si="20"/>
        <v>41.65</v>
      </c>
      <c r="K98" s="3">
        <f t="shared" si="20"/>
        <v>41.65</v>
      </c>
      <c r="L98" s="3">
        <f t="shared" si="20"/>
        <v>41.65</v>
      </c>
      <c r="M98" s="3">
        <f t="shared" si="20"/>
        <v>41.65</v>
      </c>
      <c r="P98" s="10" t="s">
        <v>495</v>
      </c>
      <c r="Q98" s="10" t="str">
        <f t="shared" si="14"/>
        <v xml:space="preserve">RENOVA      -UNT </v>
      </c>
      <c r="R98" s="51">
        <f t="shared" si="15"/>
        <v>41705</v>
      </c>
      <c r="S98" s="5">
        <f t="shared" si="16"/>
        <v>41.65</v>
      </c>
      <c r="T98" s="5">
        <f t="shared" si="17"/>
        <v>41.65</v>
      </c>
      <c r="U98" s="5">
        <f t="shared" si="18"/>
        <v>41.65</v>
      </c>
      <c r="V98" s="5">
        <f t="shared" si="19"/>
        <v>41.65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499</v>
      </c>
      <c r="D99" s="3" t="s">
        <v>426</v>
      </c>
      <c r="E99" s="61">
        <v>202604</v>
      </c>
      <c r="F99" s="61">
        <v>202604</v>
      </c>
      <c r="G99" s="61">
        <v>202604</v>
      </c>
      <c r="H99" s="51">
        <v>41705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496</v>
      </c>
      <c r="Q99" s="10" t="str">
        <f t="shared" si="14"/>
        <v xml:space="preserve">RENOVA      -ON  </v>
      </c>
      <c r="R99" s="51">
        <f t="shared" si="15"/>
        <v>41705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500</v>
      </c>
      <c r="D100" s="3" t="s">
        <v>426</v>
      </c>
      <c r="E100" s="3" t="s">
        <v>427</v>
      </c>
      <c r="F100" s="3" t="s">
        <v>426</v>
      </c>
      <c r="G100" s="3" t="s">
        <v>426</v>
      </c>
      <c r="H100" s="51" t="s">
        <v>426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497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503</v>
      </c>
      <c r="D101" s="3" t="s">
        <v>426</v>
      </c>
      <c r="E101" s="3" t="s">
        <v>427</v>
      </c>
      <c r="F101" s="3" t="s">
        <v>426</v>
      </c>
      <c r="G101" s="3" t="s">
        <v>426</v>
      </c>
      <c r="H101" s="51" t="s">
        <v>426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501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504</v>
      </c>
      <c r="D102" s="3" t="s">
        <v>426</v>
      </c>
      <c r="E102" s="3" t="s">
        <v>427</v>
      </c>
      <c r="F102" s="3" t="s">
        <v>426</v>
      </c>
      <c r="G102" s="3" t="s">
        <v>426</v>
      </c>
      <c r="H102" s="51" t="s">
        <v>426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502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507</v>
      </c>
      <c r="D103" s="3" t="s">
        <v>426</v>
      </c>
      <c r="E103" s="3" t="s">
        <v>427</v>
      </c>
      <c r="F103" s="3" t="s">
        <v>426</v>
      </c>
      <c r="G103" s="3" t="s">
        <v>426</v>
      </c>
      <c r="H103" s="51" t="s">
        <v>426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506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511</v>
      </c>
      <c r="D104" s="3" t="s">
        <v>918</v>
      </c>
      <c r="E104" s="3" t="s">
        <v>918</v>
      </c>
      <c r="F104" s="3" t="s">
        <v>918</v>
      </c>
      <c r="G104" s="3" t="s">
        <v>918</v>
      </c>
      <c r="H104" s="51">
        <v>41705</v>
      </c>
      <c r="J104" s="3">
        <f t="shared" si="20"/>
        <v>49</v>
      </c>
      <c r="K104" s="3">
        <f t="shared" si="20"/>
        <v>49</v>
      </c>
      <c r="L104" s="3">
        <f t="shared" si="20"/>
        <v>49</v>
      </c>
      <c r="M104" s="3">
        <f t="shared" si="20"/>
        <v>49</v>
      </c>
      <c r="P104" s="15" t="s">
        <v>509</v>
      </c>
      <c r="Q104" s="10" t="str">
        <f t="shared" si="21"/>
        <v>COMGAS      -ON</v>
      </c>
      <c r="R104" s="51">
        <f t="shared" si="22"/>
        <v>41705</v>
      </c>
      <c r="S104" s="5">
        <f t="shared" si="23"/>
        <v>49</v>
      </c>
      <c r="T104" s="5">
        <f t="shared" si="24"/>
        <v>49</v>
      </c>
      <c r="U104" s="5">
        <f t="shared" si="25"/>
        <v>49</v>
      </c>
      <c r="V104" s="5">
        <f t="shared" si="26"/>
        <v>49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512</v>
      </c>
      <c r="D105" s="3" t="s">
        <v>1779</v>
      </c>
      <c r="E105" s="3" t="s">
        <v>1780</v>
      </c>
      <c r="F105" s="3" t="s">
        <v>1781</v>
      </c>
      <c r="G105" s="3" t="s">
        <v>1782</v>
      </c>
      <c r="H105" s="51">
        <v>41705</v>
      </c>
      <c r="J105" s="3">
        <f t="shared" si="20"/>
        <v>51.76</v>
      </c>
      <c r="K105" s="3">
        <f t="shared" si="20"/>
        <v>50.6</v>
      </c>
      <c r="L105" s="3">
        <f t="shared" si="20"/>
        <v>52.11</v>
      </c>
      <c r="M105" s="3">
        <f t="shared" si="20"/>
        <v>50.39</v>
      </c>
      <c r="P105" s="15" t="s">
        <v>510</v>
      </c>
      <c r="Q105" s="10" t="str">
        <f t="shared" si="21"/>
        <v>COMGAS      -PNA</v>
      </c>
      <c r="R105" s="51">
        <f t="shared" si="22"/>
        <v>41705</v>
      </c>
      <c r="S105" s="5">
        <f t="shared" si="23"/>
        <v>51.76</v>
      </c>
      <c r="T105" s="5">
        <f t="shared" si="24"/>
        <v>50.6</v>
      </c>
      <c r="U105" s="5">
        <f t="shared" si="25"/>
        <v>52.11</v>
      </c>
      <c r="V105" s="5">
        <f t="shared" si="26"/>
        <v>50.39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514</v>
      </c>
      <c r="D106" s="3" t="s">
        <v>914</v>
      </c>
      <c r="E106" s="3" t="s">
        <v>914</v>
      </c>
      <c r="F106" s="3" t="s">
        <v>914</v>
      </c>
      <c r="G106" s="3" t="s">
        <v>914</v>
      </c>
      <c r="H106" s="51">
        <v>41705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513</v>
      </c>
      <c r="Q106" s="10" t="str">
        <f t="shared" si="21"/>
        <v>CEG         -ON *</v>
      </c>
      <c r="R106" s="51">
        <f t="shared" si="22"/>
        <v>41705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516</v>
      </c>
      <c r="D107" s="3" t="s">
        <v>1380</v>
      </c>
      <c r="E107" s="3" t="s">
        <v>1380</v>
      </c>
      <c r="F107" s="3" t="s">
        <v>1352</v>
      </c>
      <c r="G107" s="3" t="s">
        <v>1380</v>
      </c>
      <c r="H107" s="51">
        <v>41705</v>
      </c>
      <c r="J107" s="3">
        <f t="shared" si="20"/>
        <v>0.15</v>
      </c>
      <c r="K107" s="3">
        <f t="shared" si="20"/>
        <v>0.15</v>
      </c>
      <c r="L107" s="3">
        <f t="shared" si="20"/>
        <v>0.16</v>
      </c>
      <c r="M107" s="3">
        <f t="shared" si="20"/>
        <v>0.15</v>
      </c>
      <c r="P107" s="14" t="s">
        <v>515</v>
      </c>
      <c r="Q107" s="10" t="str">
        <f t="shared" si="21"/>
        <v>INEPAR TEL  -ON</v>
      </c>
      <c r="R107" s="51">
        <f t="shared" si="22"/>
        <v>41705</v>
      </c>
      <c r="S107" s="5">
        <f t="shared" si="23"/>
        <v>0.15</v>
      </c>
      <c r="T107" s="5">
        <f t="shared" si="24"/>
        <v>0.15</v>
      </c>
      <c r="U107" s="5">
        <f t="shared" si="25"/>
        <v>0.16</v>
      </c>
      <c r="V107" s="5">
        <f t="shared" si="26"/>
        <v>0.15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519</v>
      </c>
      <c r="D108" s="3" t="s">
        <v>1783</v>
      </c>
      <c r="E108" s="3" t="s">
        <v>1784</v>
      </c>
      <c r="F108" s="3" t="s">
        <v>1783</v>
      </c>
      <c r="G108" s="3" t="s">
        <v>1479</v>
      </c>
      <c r="H108" s="51">
        <v>41705</v>
      </c>
      <c r="J108" s="3">
        <f t="shared" si="20"/>
        <v>7.2</v>
      </c>
      <c r="K108" s="3">
        <f t="shared" si="20"/>
        <v>7.12</v>
      </c>
      <c r="L108" s="3">
        <f t="shared" si="20"/>
        <v>7.2</v>
      </c>
      <c r="M108" s="3">
        <f t="shared" si="20"/>
        <v>7.1</v>
      </c>
      <c r="P108" s="14" t="s">
        <v>518</v>
      </c>
      <c r="Q108" s="10" t="str">
        <f t="shared" si="21"/>
        <v>EMBRATEL PAR-ON *</v>
      </c>
      <c r="R108" s="51">
        <f t="shared" si="22"/>
        <v>41705</v>
      </c>
      <c r="S108" s="5">
        <f t="shared" si="23"/>
        <v>7.2</v>
      </c>
      <c r="T108" s="5">
        <f t="shared" si="24"/>
        <v>7.12</v>
      </c>
      <c r="U108" s="5">
        <f t="shared" si="25"/>
        <v>7.2</v>
      </c>
      <c r="V108" s="5">
        <f t="shared" si="26"/>
        <v>7.1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522</v>
      </c>
      <c r="D109" s="3" t="s">
        <v>426</v>
      </c>
      <c r="E109" s="3" t="s">
        <v>523</v>
      </c>
      <c r="F109" s="3" t="s">
        <v>523</v>
      </c>
      <c r="G109" s="3" t="s">
        <v>523</v>
      </c>
      <c r="H109" s="51">
        <v>41705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520</v>
      </c>
      <c r="Q109" s="10" t="str">
        <f t="shared" si="21"/>
        <v>JEREISSATI  -ON</v>
      </c>
      <c r="R109" s="51">
        <f t="shared" si="22"/>
        <v>41705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524</v>
      </c>
      <c r="D110" s="3" t="s">
        <v>1514</v>
      </c>
      <c r="E110" s="3" t="s">
        <v>1514</v>
      </c>
      <c r="F110" s="3" t="s">
        <v>1514</v>
      </c>
      <c r="G110" s="3" t="s">
        <v>1514</v>
      </c>
      <c r="H110" s="51">
        <v>41705</v>
      </c>
      <c r="J110" s="3">
        <f t="shared" si="20"/>
        <v>1.54</v>
      </c>
      <c r="K110" s="3">
        <f t="shared" si="20"/>
        <v>1.54</v>
      </c>
      <c r="L110" s="3">
        <f t="shared" si="20"/>
        <v>1.54</v>
      </c>
      <c r="M110" s="3">
        <f t="shared" si="20"/>
        <v>1.54</v>
      </c>
      <c r="P110" s="15" t="s">
        <v>521</v>
      </c>
      <c r="Q110" s="10" t="str">
        <f t="shared" si="21"/>
        <v>JEREISSATI  -PN</v>
      </c>
      <c r="R110" s="51">
        <f t="shared" si="22"/>
        <v>41705</v>
      </c>
      <c r="S110" s="5">
        <f t="shared" si="23"/>
        <v>1.54</v>
      </c>
      <c r="T110" s="5">
        <f t="shared" si="24"/>
        <v>1.54</v>
      </c>
      <c r="U110" s="5">
        <f t="shared" si="25"/>
        <v>1.54</v>
      </c>
      <c r="V110" s="5">
        <f t="shared" si="26"/>
        <v>1.54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529</v>
      </c>
      <c r="D111" s="3" t="s">
        <v>426</v>
      </c>
      <c r="E111" s="3" t="s">
        <v>525</v>
      </c>
      <c r="F111" s="3" t="s">
        <v>525</v>
      </c>
      <c r="G111" s="3" t="s">
        <v>525</v>
      </c>
      <c r="H111" s="51">
        <v>41705</v>
      </c>
      <c r="J111" s="3" t="e">
        <f t="shared" si="20"/>
        <v>#VALUE!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526</v>
      </c>
      <c r="Q111" s="10" t="str">
        <f t="shared" si="21"/>
        <v>LA FONTE TEL-ON</v>
      </c>
      <c r="R111" s="51">
        <f t="shared" si="22"/>
        <v>41705</v>
      </c>
      <c r="S111" s="5" t="e">
        <f t="shared" si="23"/>
        <v>#VALUE!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530</v>
      </c>
      <c r="D112" s="3" t="s">
        <v>426</v>
      </c>
      <c r="E112" s="3" t="s">
        <v>531</v>
      </c>
      <c r="F112" s="3" t="s">
        <v>531</v>
      </c>
      <c r="G112" s="3" t="s">
        <v>531</v>
      </c>
      <c r="H112" s="51">
        <v>41705</v>
      </c>
      <c r="J112" s="3" t="e">
        <f t="shared" si="20"/>
        <v>#VALUE!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527</v>
      </c>
      <c r="Q112" s="10" t="str">
        <f t="shared" si="21"/>
        <v>LA FONTE TEL-PN</v>
      </c>
      <c r="R112" s="51">
        <f t="shared" si="22"/>
        <v>41705</v>
      </c>
      <c r="S112" s="5" t="e">
        <f t="shared" si="23"/>
        <v>#VALUE!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7" sqref="H7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829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536</v>
      </c>
      <c r="D7" s="3" t="s">
        <v>426</v>
      </c>
      <c r="E7" s="3" t="s">
        <v>537</v>
      </c>
      <c r="F7" s="3" t="s">
        <v>537</v>
      </c>
      <c r="G7" s="3" t="s">
        <v>537</v>
      </c>
      <c r="H7" s="51">
        <v>41705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534</v>
      </c>
      <c r="Q7" s="10" t="str">
        <f t="shared" ref="Q7:Q38" si="1">IF(A7="","",C7)</f>
        <v xml:space="preserve">INDUSVAL    -ON  </v>
      </c>
      <c r="R7" s="51">
        <f t="shared" ref="R7:R38" si="2">IF(A7="","",H7)</f>
        <v>41705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538</v>
      </c>
      <c r="D8" s="3" t="s">
        <v>1785</v>
      </c>
      <c r="E8" s="3" t="s">
        <v>1453</v>
      </c>
      <c r="F8" s="3" t="s">
        <v>1786</v>
      </c>
      <c r="G8" s="3" t="s">
        <v>1787</v>
      </c>
      <c r="H8" s="51">
        <v>41705</v>
      </c>
      <c r="J8" s="3">
        <f t="shared" ref="J8:M71" si="7">IF($A8="",0,VALUE(CONCATENATE(LEFT(D8,LEN(D8)-3),",",RIGHT(D8,2))))</f>
        <v>4.4000000000000004</v>
      </c>
      <c r="K8" s="3">
        <f t="shared" si="0"/>
        <v>4.3499999999999996</v>
      </c>
      <c r="L8" s="3">
        <f t="shared" si="0"/>
        <v>4.47</v>
      </c>
      <c r="M8" s="3">
        <f t="shared" si="0"/>
        <v>4.2</v>
      </c>
      <c r="P8" s="15" t="s">
        <v>535</v>
      </c>
      <c r="Q8" s="10" t="str">
        <f t="shared" si="1"/>
        <v xml:space="preserve">INDUSVAL    -PN  </v>
      </c>
      <c r="R8" s="51">
        <f t="shared" si="2"/>
        <v>41705</v>
      </c>
      <c r="S8" s="5">
        <f t="shared" si="3"/>
        <v>4.4000000000000004</v>
      </c>
      <c r="T8" s="5">
        <f t="shared" si="4"/>
        <v>4.3499999999999996</v>
      </c>
      <c r="U8" s="5">
        <f t="shared" si="5"/>
        <v>4.47</v>
      </c>
      <c r="V8" s="5">
        <f t="shared" si="6"/>
        <v>4.2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541</v>
      </c>
      <c r="D9" s="3" t="s">
        <v>896</v>
      </c>
      <c r="E9" s="3" t="s">
        <v>896</v>
      </c>
      <c r="F9" s="3" t="s">
        <v>896</v>
      </c>
      <c r="G9" s="3" t="s">
        <v>896</v>
      </c>
      <c r="H9" s="51">
        <v>41705</v>
      </c>
      <c r="J9" s="3">
        <f t="shared" si="7"/>
        <v>12.5</v>
      </c>
      <c r="K9" s="3">
        <f t="shared" si="0"/>
        <v>12.5</v>
      </c>
      <c r="L9" s="3">
        <f t="shared" si="0"/>
        <v>12.5</v>
      </c>
      <c r="M9" s="3">
        <f t="shared" si="0"/>
        <v>12.5</v>
      </c>
      <c r="P9" s="14" t="s">
        <v>539</v>
      </c>
      <c r="Q9" s="10" t="str">
        <f t="shared" si="1"/>
        <v>MERC BRASIL -ON</v>
      </c>
      <c r="R9" s="51">
        <f t="shared" si="2"/>
        <v>41705</v>
      </c>
      <c r="S9" s="5">
        <f t="shared" si="3"/>
        <v>12.5</v>
      </c>
      <c r="T9" s="5">
        <f t="shared" si="4"/>
        <v>12.5</v>
      </c>
      <c r="U9" s="5">
        <f t="shared" si="5"/>
        <v>12.5</v>
      </c>
      <c r="V9" s="5">
        <f t="shared" si="6"/>
        <v>12.5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1423</v>
      </c>
      <c r="D10" s="3" t="s">
        <v>1390</v>
      </c>
      <c r="E10" s="3" t="s">
        <v>1390</v>
      </c>
      <c r="F10" s="3" t="s">
        <v>1390</v>
      </c>
      <c r="G10" s="3" t="s">
        <v>897</v>
      </c>
      <c r="H10" s="51">
        <v>41705</v>
      </c>
      <c r="J10" s="3">
        <f t="shared" si="7"/>
        <v>7.01</v>
      </c>
      <c r="K10" s="3">
        <f t="shared" si="0"/>
        <v>7.01</v>
      </c>
      <c r="L10" s="3">
        <f t="shared" si="0"/>
        <v>7.01</v>
      </c>
      <c r="M10" s="3">
        <f t="shared" si="0"/>
        <v>7</v>
      </c>
      <c r="P10" s="14" t="s">
        <v>540</v>
      </c>
      <c r="Q10" s="10" t="str">
        <f t="shared" si="1"/>
        <v xml:space="preserve">MERC BRASIL -PN  </v>
      </c>
      <c r="R10" s="46">
        <f t="shared" si="2"/>
        <v>41705</v>
      </c>
      <c r="S10" s="6">
        <f t="shared" si="3"/>
        <v>7.01</v>
      </c>
      <c r="T10" s="6">
        <f t="shared" si="4"/>
        <v>7.01</v>
      </c>
      <c r="U10" s="5">
        <f t="shared" si="5"/>
        <v>7.01</v>
      </c>
      <c r="V10" s="5">
        <f t="shared" si="6"/>
        <v>7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544</v>
      </c>
      <c r="D11" s="3" t="s">
        <v>426</v>
      </c>
      <c r="E11" s="3" t="s">
        <v>427</v>
      </c>
      <c r="F11" s="3" t="s">
        <v>426</v>
      </c>
      <c r="G11" s="3" t="s">
        <v>426</v>
      </c>
      <c r="H11" s="51" t="s">
        <v>426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542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545</v>
      </c>
      <c r="D12" s="3" t="s">
        <v>1788</v>
      </c>
      <c r="E12" s="3" t="s">
        <v>1789</v>
      </c>
      <c r="F12" s="3" t="s">
        <v>1790</v>
      </c>
      <c r="G12" s="3" t="s">
        <v>1788</v>
      </c>
      <c r="H12" s="51">
        <v>41705</v>
      </c>
      <c r="J12" s="3">
        <f t="shared" si="7"/>
        <v>3.71</v>
      </c>
      <c r="K12" s="3">
        <f t="shared" si="0"/>
        <v>3.72</v>
      </c>
      <c r="L12" s="3">
        <f t="shared" si="0"/>
        <v>3.73</v>
      </c>
      <c r="M12" s="3">
        <f t="shared" si="0"/>
        <v>3.71</v>
      </c>
      <c r="P12" s="14" t="s">
        <v>543</v>
      </c>
      <c r="Q12" s="10" t="str">
        <f t="shared" si="1"/>
        <v xml:space="preserve">PANAMERICANO-PN  </v>
      </c>
      <c r="R12" s="46">
        <f t="shared" si="2"/>
        <v>41705</v>
      </c>
      <c r="S12" s="6">
        <f t="shared" si="3"/>
        <v>3.71</v>
      </c>
      <c r="T12" s="6">
        <f t="shared" si="4"/>
        <v>3.72</v>
      </c>
      <c r="U12" s="6">
        <f t="shared" si="5"/>
        <v>3.73</v>
      </c>
      <c r="V12" s="6">
        <f t="shared" si="6"/>
        <v>3.71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549</v>
      </c>
      <c r="D13" s="3" t="s">
        <v>426</v>
      </c>
      <c r="E13" s="3" t="s">
        <v>398</v>
      </c>
      <c r="F13" s="3" t="s">
        <v>398</v>
      </c>
      <c r="G13" s="3" t="s">
        <v>398</v>
      </c>
      <c r="H13" s="51">
        <v>41705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548</v>
      </c>
      <c r="Q13" s="10" t="str">
        <f t="shared" si="1"/>
        <v>PATAGONIA   -DR3</v>
      </c>
      <c r="R13" s="51">
        <f t="shared" si="2"/>
        <v>41705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553</v>
      </c>
      <c r="D14" s="3" t="s">
        <v>1557</v>
      </c>
      <c r="E14" s="3" t="s">
        <v>1791</v>
      </c>
      <c r="F14" s="3" t="s">
        <v>1792</v>
      </c>
      <c r="G14" s="3" t="s">
        <v>1793</v>
      </c>
      <c r="H14" s="51">
        <v>41705</v>
      </c>
      <c r="J14" s="3">
        <f t="shared" si="7"/>
        <v>11.54</v>
      </c>
      <c r="K14" s="3">
        <f t="shared" si="0"/>
        <v>11.49</v>
      </c>
      <c r="L14" s="3">
        <f t="shared" si="0"/>
        <v>11.71</v>
      </c>
      <c r="M14" s="3">
        <f t="shared" si="0"/>
        <v>11.47</v>
      </c>
      <c r="P14" s="15" t="s">
        <v>550</v>
      </c>
      <c r="Q14" s="10" t="str">
        <f t="shared" si="1"/>
        <v xml:space="preserve">SANTANDER BR-UNT </v>
      </c>
      <c r="R14" s="51">
        <f t="shared" si="2"/>
        <v>41705</v>
      </c>
      <c r="S14" s="5">
        <f t="shared" si="3"/>
        <v>11.54</v>
      </c>
      <c r="T14" s="5">
        <f t="shared" si="4"/>
        <v>11.49</v>
      </c>
      <c r="U14" s="5">
        <f t="shared" si="5"/>
        <v>11.71</v>
      </c>
      <c r="V14" s="5">
        <f t="shared" si="6"/>
        <v>11.47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554</v>
      </c>
      <c r="D15" s="3" t="s">
        <v>758</v>
      </c>
      <c r="E15" s="3" t="s">
        <v>555</v>
      </c>
      <c r="F15" s="3" t="s">
        <v>555</v>
      </c>
      <c r="G15" s="3" t="s">
        <v>758</v>
      </c>
      <c r="H15" s="51">
        <v>41705</v>
      </c>
      <c r="J15" s="3">
        <f t="shared" si="7"/>
        <v>0.1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551</v>
      </c>
      <c r="Q15" s="10" t="str">
        <f t="shared" si="1"/>
        <v xml:space="preserve">SANTANDER BR-ON  </v>
      </c>
      <c r="R15" s="51">
        <f t="shared" si="2"/>
        <v>41705</v>
      </c>
      <c r="S15" s="5">
        <f t="shared" si="3"/>
        <v>0.1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556</v>
      </c>
      <c r="D16" s="3" t="s">
        <v>555</v>
      </c>
      <c r="E16" s="3" t="s">
        <v>555</v>
      </c>
      <c r="F16" s="3" t="s">
        <v>397</v>
      </c>
      <c r="G16" s="3" t="s">
        <v>555</v>
      </c>
      <c r="H16" s="51">
        <v>41705</v>
      </c>
      <c r="J16" s="3">
        <f t="shared" si="7"/>
        <v>0.11</v>
      </c>
      <c r="K16" s="3">
        <f t="shared" si="0"/>
        <v>0.11</v>
      </c>
      <c r="L16" s="3">
        <f t="shared" si="0"/>
        <v>0.12</v>
      </c>
      <c r="M16" s="3">
        <f t="shared" si="0"/>
        <v>0.11</v>
      </c>
      <c r="P16" s="14" t="s">
        <v>552</v>
      </c>
      <c r="Q16" s="10" t="str">
        <f t="shared" si="1"/>
        <v xml:space="preserve">SANTANDER BR-PN  </v>
      </c>
      <c r="R16" s="51">
        <f t="shared" si="2"/>
        <v>41705</v>
      </c>
      <c r="S16" s="5">
        <f t="shared" si="3"/>
        <v>0.11</v>
      </c>
      <c r="T16" s="5">
        <f t="shared" si="4"/>
        <v>0.11</v>
      </c>
      <c r="U16" s="5">
        <f t="shared" si="5"/>
        <v>0.12</v>
      </c>
      <c r="V16" s="5">
        <f t="shared" si="6"/>
        <v>0.11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558</v>
      </c>
      <c r="D17" s="3" t="s">
        <v>426</v>
      </c>
      <c r="E17" s="3" t="s">
        <v>427</v>
      </c>
      <c r="F17" s="3" t="s">
        <v>426</v>
      </c>
      <c r="G17" s="3" t="s">
        <v>426</v>
      </c>
      <c r="H17" s="51" t="s">
        <v>426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557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561</v>
      </c>
      <c r="D18" s="3" t="s">
        <v>1608</v>
      </c>
      <c r="E18" s="3" t="s">
        <v>1514</v>
      </c>
      <c r="F18" s="3" t="s">
        <v>1608</v>
      </c>
      <c r="G18" s="3" t="s">
        <v>1350</v>
      </c>
      <c r="H18" s="51">
        <v>41705</v>
      </c>
      <c r="J18" s="3">
        <f t="shared" si="7"/>
        <v>1.57</v>
      </c>
      <c r="K18" s="3">
        <f t="shared" si="0"/>
        <v>1.54</v>
      </c>
      <c r="L18" s="3">
        <f t="shared" si="0"/>
        <v>1.57</v>
      </c>
      <c r="M18" s="3">
        <f t="shared" si="0"/>
        <v>1.52</v>
      </c>
      <c r="P18" s="10" t="s">
        <v>560</v>
      </c>
      <c r="Q18" s="10" t="str">
        <f t="shared" si="1"/>
        <v xml:space="preserve">IDEIASNET   -ON  </v>
      </c>
      <c r="R18" s="51">
        <f t="shared" si="2"/>
        <v>41705</v>
      </c>
      <c r="S18" s="5">
        <f t="shared" si="3"/>
        <v>1.57</v>
      </c>
      <c r="T18" s="5">
        <f t="shared" si="4"/>
        <v>1.54</v>
      </c>
      <c r="U18" s="5">
        <f t="shared" si="5"/>
        <v>1.57</v>
      </c>
      <c r="V18" s="5">
        <f t="shared" si="6"/>
        <v>1.52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566</v>
      </c>
      <c r="D19" s="3" t="s">
        <v>1794</v>
      </c>
      <c r="E19" s="3" t="s">
        <v>1795</v>
      </c>
      <c r="F19" s="3" t="s">
        <v>1796</v>
      </c>
      <c r="G19" s="3" t="s">
        <v>1797</v>
      </c>
      <c r="H19" s="51">
        <v>41705</v>
      </c>
      <c r="J19" s="3">
        <f t="shared" si="7"/>
        <v>44.4</v>
      </c>
      <c r="K19" s="3">
        <f t="shared" si="0"/>
        <v>44.59</v>
      </c>
      <c r="L19" s="3">
        <f t="shared" si="0"/>
        <v>44.89</v>
      </c>
      <c r="M19" s="3">
        <f t="shared" si="0"/>
        <v>44.2</v>
      </c>
      <c r="P19" s="10" t="s">
        <v>563</v>
      </c>
      <c r="Q19" s="10" t="str">
        <f t="shared" si="1"/>
        <v xml:space="preserve">LINX        -ON  </v>
      </c>
      <c r="R19" s="51">
        <f t="shared" si="2"/>
        <v>41705</v>
      </c>
      <c r="S19" s="5">
        <f t="shared" si="3"/>
        <v>44.4</v>
      </c>
      <c r="T19" s="5">
        <f t="shared" si="4"/>
        <v>44.59</v>
      </c>
      <c r="U19" s="5">
        <f t="shared" si="5"/>
        <v>44.89</v>
      </c>
      <c r="V19" s="5">
        <f t="shared" si="6"/>
        <v>44.2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567</v>
      </c>
      <c r="D20" s="3" t="s">
        <v>1422</v>
      </c>
      <c r="E20" s="3" t="s">
        <v>1422</v>
      </c>
      <c r="F20" s="3" t="s">
        <v>1422</v>
      </c>
      <c r="G20" s="3" t="s">
        <v>1422</v>
      </c>
      <c r="H20" s="51">
        <v>41705</v>
      </c>
      <c r="J20" s="3">
        <f t="shared" si="7"/>
        <v>4.5</v>
      </c>
      <c r="K20" s="3">
        <f t="shared" si="0"/>
        <v>4.5</v>
      </c>
      <c r="L20" s="3">
        <f t="shared" si="0"/>
        <v>4.5</v>
      </c>
      <c r="M20" s="3">
        <f t="shared" si="0"/>
        <v>4.5</v>
      </c>
      <c r="P20" s="10" t="s">
        <v>564</v>
      </c>
      <c r="Q20" s="10" t="str">
        <f t="shared" si="1"/>
        <v>TELEBRAS    -ON</v>
      </c>
      <c r="R20" s="51">
        <f t="shared" si="2"/>
        <v>41705</v>
      </c>
      <c r="S20" s="5">
        <f t="shared" si="3"/>
        <v>4.5</v>
      </c>
      <c r="T20" s="5">
        <f t="shared" si="4"/>
        <v>4.5</v>
      </c>
      <c r="U20" s="5">
        <f t="shared" si="5"/>
        <v>4.5</v>
      </c>
      <c r="V20" s="5">
        <f t="shared" si="6"/>
        <v>4.5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568</v>
      </c>
      <c r="D21" s="3" t="s">
        <v>1798</v>
      </c>
      <c r="E21" s="3" t="s">
        <v>1799</v>
      </c>
      <c r="F21" s="3" t="s">
        <v>1800</v>
      </c>
      <c r="G21" s="3" t="s">
        <v>1799</v>
      </c>
      <c r="H21" s="51">
        <v>41705</v>
      </c>
      <c r="J21" s="3">
        <f t="shared" si="7"/>
        <v>2.5299999999999998</v>
      </c>
      <c r="K21" s="3">
        <f t="shared" si="0"/>
        <v>2.4900000000000002</v>
      </c>
      <c r="L21" s="3">
        <f t="shared" si="0"/>
        <v>2.57</v>
      </c>
      <c r="M21" s="3">
        <f t="shared" si="0"/>
        <v>2.4900000000000002</v>
      </c>
      <c r="P21" s="14" t="s">
        <v>565</v>
      </c>
      <c r="Q21" s="10" t="str">
        <f t="shared" si="1"/>
        <v>TELEBRAS    -PN</v>
      </c>
      <c r="R21" s="51">
        <f t="shared" si="2"/>
        <v>41705</v>
      </c>
      <c r="S21" s="5">
        <f t="shared" si="3"/>
        <v>2.5299999999999998</v>
      </c>
      <c r="T21" s="5">
        <f t="shared" si="4"/>
        <v>2.4900000000000002</v>
      </c>
      <c r="U21" s="5">
        <f t="shared" si="5"/>
        <v>2.57</v>
      </c>
      <c r="V21" s="5">
        <f t="shared" si="6"/>
        <v>2.4900000000000002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570</v>
      </c>
      <c r="D22" s="3" t="s">
        <v>713</v>
      </c>
      <c r="E22" s="3" t="s">
        <v>765</v>
      </c>
      <c r="F22" s="3" t="s">
        <v>765</v>
      </c>
      <c r="G22" s="3" t="s">
        <v>766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569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572</v>
      </c>
      <c r="D23" s="3" t="s">
        <v>1652</v>
      </c>
      <c r="E23" s="3" t="s">
        <v>1801</v>
      </c>
      <c r="F23" s="3" t="s">
        <v>1802</v>
      </c>
      <c r="G23" s="3" t="s">
        <v>1801</v>
      </c>
      <c r="H23" s="51">
        <v>41705</v>
      </c>
      <c r="J23" s="3">
        <f t="shared" si="7"/>
        <v>32.71</v>
      </c>
      <c r="K23" s="3">
        <f t="shared" si="7"/>
        <v>32.11</v>
      </c>
      <c r="L23" s="3">
        <f t="shared" si="7"/>
        <v>33.14</v>
      </c>
      <c r="M23" s="3">
        <f t="shared" si="7"/>
        <v>32.11</v>
      </c>
      <c r="P23" s="14" t="s">
        <v>571</v>
      </c>
      <c r="Q23" s="10" t="str">
        <f t="shared" si="1"/>
        <v xml:space="preserve">TOTVS       -ON  </v>
      </c>
      <c r="R23" s="51">
        <f t="shared" si="2"/>
        <v>41705</v>
      </c>
      <c r="S23" s="5">
        <f t="shared" si="3"/>
        <v>32.71</v>
      </c>
      <c r="T23" s="5">
        <f t="shared" si="4"/>
        <v>32.11</v>
      </c>
      <c r="U23" s="5">
        <f t="shared" si="5"/>
        <v>33.14</v>
      </c>
      <c r="V23" s="5">
        <f t="shared" si="6"/>
        <v>32.11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577</v>
      </c>
      <c r="D24" s="3" t="s">
        <v>1803</v>
      </c>
      <c r="E24" s="3" t="s">
        <v>1614</v>
      </c>
      <c r="F24" s="3" t="s">
        <v>1804</v>
      </c>
      <c r="G24" s="3" t="s">
        <v>1805</v>
      </c>
      <c r="H24" s="51">
        <v>41705</v>
      </c>
      <c r="J24" s="3">
        <f t="shared" si="7"/>
        <v>8.0399999999999991</v>
      </c>
      <c r="K24" s="3">
        <f t="shared" si="7"/>
        <v>7.95</v>
      </c>
      <c r="L24" s="3">
        <f t="shared" si="7"/>
        <v>8.06</v>
      </c>
      <c r="M24" s="3">
        <f t="shared" si="7"/>
        <v>7.94</v>
      </c>
      <c r="P24" s="15" t="s">
        <v>574</v>
      </c>
      <c r="Q24" s="10" t="str">
        <f t="shared" si="1"/>
        <v xml:space="preserve">BEMATECH    -ON  </v>
      </c>
      <c r="R24" s="51">
        <f t="shared" si="2"/>
        <v>41705</v>
      </c>
      <c r="S24" s="5">
        <f t="shared" si="3"/>
        <v>8.0399999999999991</v>
      </c>
      <c r="T24" s="5">
        <f t="shared" si="4"/>
        <v>7.95</v>
      </c>
      <c r="U24" s="5">
        <f t="shared" si="5"/>
        <v>8.06</v>
      </c>
      <c r="V24" s="5">
        <f t="shared" si="6"/>
        <v>7.94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578</v>
      </c>
      <c r="D25" s="3" t="s">
        <v>426</v>
      </c>
      <c r="E25" s="3" t="s">
        <v>911</v>
      </c>
      <c r="F25" s="3" t="s">
        <v>911</v>
      </c>
      <c r="G25" s="3" t="s">
        <v>911</v>
      </c>
      <c r="H25" s="51">
        <v>41705</v>
      </c>
      <c r="J25" s="3" t="e">
        <f t="shared" si="7"/>
        <v>#VALUE!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575</v>
      </c>
      <c r="Q25" s="10" t="str">
        <f t="shared" si="1"/>
        <v>ITAUTEC     -ON</v>
      </c>
      <c r="R25" s="51">
        <f t="shared" si="2"/>
        <v>41705</v>
      </c>
      <c r="S25" s="5" t="e">
        <f t="shared" si="3"/>
        <v>#VALUE!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579</v>
      </c>
      <c r="D26" s="3" t="s">
        <v>1460</v>
      </c>
      <c r="E26" s="3" t="s">
        <v>1806</v>
      </c>
      <c r="F26" s="3" t="s">
        <v>1807</v>
      </c>
      <c r="G26" s="3" t="s">
        <v>1808</v>
      </c>
      <c r="H26" s="51">
        <v>41705</v>
      </c>
      <c r="J26" s="3">
        <f t="shared" si="7"/>
        <v>2.35</v>
      </c>
      <c r="K26" s="3">
        <f t="shared" si="7"/>
        <v>2.34</v>
      </c>
      <c r="L26" s="3">
        <f t="shared" si="7"/>
        <v>2.4500000000000002</v>
      </c>
      <c r="M26" s="3">
        <f t="shared" si="7"/>
        <v>2.2999999999999998</v>
      </c>
      <c r="P26" s="15" t="s">
        <v>576</v>
      </c>
      <c r="Q26" s="10" t="str">
        <f t="shared" si="1"/>
        <v xml:space="preserve">POSITIVO INF-ON  </v>
      </c>
      <c r="R26" s="51">
        <f t="shared" si="2"/>
        <v>41705</v>
      </c>
      <c r="S26" s="5">
        <f t="shared" si="3"/>
        <v>2.35</v>
      </c>
      <c r="T26" s="5">
        <f t="shared" si="4"/>
        <v>2.34</v>
      </c>
      <c r="U26" s="5">
        <f t="shared" si="5"/>
        <v>2.4500000000000002</v>
      </c>
      <c r="V26" s="5">
        <f t="shared" si="6"/>
        <v>2.2999999999999998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583</v>
      </c>
      <c r="D27" s="3" t="s">
        <v>1400</v>
      </c>
      <c r="E27" s="3" t="s">
        <v>1360</v>
      </c>
      <c r="F27" s="3" t="s">
        <v>1400</v>
      </c>
      <c r="G27" s="3" t="s">
        <v>1809</v>
      </c>
      <c r="H27" s="51">
        <v>41705</v>
      </c>
      <c r="J27" s="3">
        <f t="shared" si="7"/>
        <v>0.32</v>
      </c>
      <c r="K27" s="3">
        <f t="shared" si="7"/>
        <v>0.31</v>
      </c>
      <c r="L27" s="3">
        <f t="shared" si="7"/>
        <v>0.32</v>
      </c>
      <c r="M27" s="3">
        <f t="shared" si="7"/>
        <v>0.28999999999999998</v>
      </c>
      <c r="P27" s="15" t="s">
        <v>581</v>
      </c>
      <c r="Q27" s="10" t="str">
        <f t="shared" si="1"/>
        <v>PET MANGUINH-ON</v>
      </c>
      <c r="R27" s="51">
        <f t="shared" si="2"/>
        <v>41705</v>
      </c>
      <c r="S27" s="5">
        <f t="shared" si="3"/>
        <v>0.32</v>
      </c>
      <c r="T27" s="5">
        <f t="shared" si="4"/>
        <v>0.31</v>
      </c>
      <c r="U27" s="5">
        <f t="shared" si="5"/>
        <v>0.32</v>
      </c>
      <c r="V27" s="5">
        <f t="shared" si="6"/>
        <v>0.28999999999999998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584</v>
      </c>
      <c r="D28" s="3" t="s">
        <v>1400</v>
      </c>
      <c r="E28" s="3" t="s">
        <v>1400</v>
      </c>
      <c r="F28" s="3" t="s">
        <v>1400</v>
      </c>
      <c r="G28" s="3" t="s">
        <v>945</v>
      </c>
      <c r="H28" s="51">
        <v>41705</v>
      </c>
      <c r="J28" s="3">
        <f t="shared" si="7"/>
        <v>0.32</v>
      </c>
      <c r="K28" s="3">
        <f t="shared" si="7"/>
        <v>0.32</v>
      </c>
      <c r="L28" s="3">
        <f t="shared" si="7"/>
        <v>0.32</v>
      </c>
      <c r="M28" s="3">
        <f t="shared" si="7"/>
        <v>0.3</v>
      </c>
      <c r="P28" s="15" t="s">
        <v>582</v>
      </c>
      <c r="Q28" s="10" t="str">
        <f t="shared" si="1"/>
        <v>PET MANGUINH-PN</v>
      </c>
      <c r="R28" s="51">
        <f t="shared" si="2"/>
        <v>41705</v>
      </c>
      <c r="S28" s="5">
        <f t="shared" si="3"/>
        <v>0.32</v>
      </c>
      <c r="T28" s="5">
        <f t="shared" si="4"/>
        <v>0.32</v>
      </c>
      <c r="U28" s="5">
        <f t="shared" si="5"/>
        <v>0.32</v>
      </c>
      <c r="V28" s="5">
        <f t="shared" si="6"/>
        <v>0.3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588</v>
      </c>
      <c r="D29" s="3" t="s">
        <v>1810</v>
      </c>
      <c r="E29" s="3" t="s">
        <v>1811</v>
      </c>
      <c r="F29" s="3" t="s">
        <v>1812</v>
      </c>
      <c r="G29" s="3" t="s">
        <v>1344</v>
      </c>
      <c r="H29" s="51">
        <v>41705</v>
      </c>
      <c r="J29" s="3">
        <f>IF($A29="",0,VALUE(CONCATENATE(LEFT(D29,LEN(D29)-3),",",RIGHT(D29,2))))</f>
        <v>9.61</v>
      </c>
      <c r="K29" s="3">
        <f t="shared" si="7"/>
        <v>9.19</v>
      </c>
      <c r="L29" s="3">
        <f t="shared" si="7"/>
        <v>9.67</v>
      </c>
      <c r="M29" s="3">
        <f t="shared" si="7"/>
        <v>9.1</v>
      </c>
      <c r="P29" s="15" t="s">
        <v>587</v>
      </c>
      <c r="Q29" s="10" t="str">
        <f t="shared" si="1"/>
        <v>SID NACIONAL-ON</v>
      </c>
      <c r="R29" s="51">
        <f t="shared" si="2"/>
        <v>41705</v>
      </c>
      <c r="S29" s="5">
        <f t="shared" si="3"/>
        <v>9.61</v>
      </c>
      <c r="T29" s="5">
        <f t="shared" si="4"/>
        <v>9.19</v>
      </c>
      <c r="U29" s="5">
        <f t="shared" si="5"/>
        <v>9.67</v>
      </c>
      <c r="V29" s="5">
        <f t="shared" si="6"/>
        <v>9.1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592</v>
      </c>
      <c r="D30" s="3" t="s">
        <v>1412</v>
      </c>
      <c r="E30" s="3" t="s">
        <v>1813</v>
      </c>
      <c r="F30" s="3" t="s">
        <v>1398</v>
      </c>
      <c r="G30" s="3" t="s">
        <v>1814</v>
      </c>
      <c r="H30" s="51">
        <v>41705</v>
      </c>
      <c r="J30" s="3">
        <f t="shared" si="7"/>
        <v>8.94</v>
      </c>
      <c r="K30" s="3">
        <f t="shared" si="7"/>
        <v>8.57</v>
      </c>
      <c r="L30" s="3">
        <f t="shared" si="7"/>
        <v>8.9600000000000009</v>
      </c>
      <c r="M30" s="3">
        <f t="shared" si="7"/>
        <v>8.5500000000000007</v>
      </c>
      <c r="P30" s="14" t="s">
        <v>589</v>
      </c>
      <c r="Q30" s="10" t="str">
        <f t="shared" si="1"/>
        <v xml:space="preserve">USIMINAS    -ON  </v>
      </c>
      <c r="R30" s="51">
        <f t="shared" si="2"/>
        <v>41705</v>
      </c>
      <c r="S30" s="5">
        <f t="shared" si="3"/>
        <v>8.94</v>
      </c>
      <c r="T30" s="5">
        <f t="shared" si="4"/>
        <v>8.57</v>
      </c>
      <c r="U30" s="5">
        <f t="shared" si="5"/>
        <v>8.9600000000000009</v>
      </c>
      <c r="V30" s="5">
        <f t="shared" si="6"/>
        <v>8.5500000000000007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593</v>
      </c>
      <c r="D31" s="3" t="s">
        <v>1374</v>
      </c>
      <c r="E31" s="3" t="s">
        <v>1815</v>
      </c>
      <c r="F31" s="3" t="s">
        <v>1816</v>
      </c>
      <c r="G31" s="3" t="s">
        <v>1344</v>
      </c>
      <c r="H31" s="51">
        <v>41705</v>
      </c>
      <c r="J31" s="3">
        <f t="shared" si="7"/>
        <v>9.6</v>
      </c>
      <c r="K31" s="3">
        <f t="shared" si="7"/>
        <v>9.1199999999999992</v>
      </c>
      <c r="L31" s="3">
        <f t="shared" si="7"/>
        <v>9.66</v>
      </c>
      <c r="M31" s="3">
        <f t="shared" si="7"/>
        <v>9.1</v>
      </c>
      <c r="P31" s="14" t="s">
        <v>590</v>
      </c>
      <c r="Q31" s="10" t="str">
        <f t="shared" si="1"/>
        <v xml:space="preserve">USIMINAS    -PNA </v>
      </c>
      <c r="R31" s="51">
        <f t="shared" si="2"/>
        <v>41705</v>
      </c>
      <c r="S31" s="5">
        <f t="shared" si="3"/>
        <v>9.6</v>
      </c>
      <c r="T31" s="5">
        <f t="shared" si="4"/>
        <v>9.1199999999999992</v>
      </c>
      <c r="U31" s="5">
        <f t="shared" si="5"/>
        <v>9.66</v>
      </c>
      <c r="V31" s="5">
        <f t="shared" si="6"/>
        <v>9.1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594</v>
      </c>
      <c r="D32" s="3" t="s">
        <v>426</v>
      </c>
      <c r="E32" s="3" t="s">
        <v>595</v>
      </c>
      <c r="F32" s="3" t="s">
        <v>595</v>
      </c>
      <c r="G32" s="3" t="s">
        <v>595</v>
      </c>
      <c r="H32" s="51">
        <v>41705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591</v>
      </c>
      <c r="Q32" s="10" t="str">
        <f t="shared" si="1"/>
        <v xml:space="preserve">USIMINAS    -PNB </v>
      </c>
      <c r="R32" s="51">
        <f t="shared" si="2"/>
        <v>41705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598</v>
      </c>
      <c r="D33" s="3" t="s">
        <v>1817</v>
      </c>
      <c r="E33" s="3" t="s">
        <v>1818</v>
      </c>
      <c r="F33" s="3" t="s">
        <v>1125</v>
      </c>
      <c r="G33" s="3" t="s">
        <v>1645</v>
      </c>
      <c r="H33" s="51">
        <v>41705</v>
      </c>
      <c r="J33" s="3">
        <f t="shared" si="7"/>
        <v>11.57</v>
      </c>
      <c r="K33" s="3">
        <f t="shared" si="7"/>
        <v>11.3</v>
      </c>
      <c r="L33" s="3">
        <f t="shared" si="7"/>
        <v>11.6</v>
      </c>
      <c r="M33" s="3">
        <f t="shared" si="7"/>
        <v>11.25</v>
      </c>
      <c r="P33" s="14" t="s">
        <v>596</v>
      </c>
      <c r="Q33" s="10" t="str">
        <f t="shared" si="1"/>
        <v xml:space="preserve">GERDAU      -ON  </v>
      </c>
      <c r="R33" s="51">
        <f t="shared" si="2"/>
        <v>41705</v>
      </c>
      <c r="S33" s="5">
        <f t="shared" si="3"/>
        <v>11.57</v>
      </c>
      <c r="T33" s="5">
        <f t="shared" si="4"/>
        <v>11.3</v>
      </c>
      <c r="U33" s="5">
        <f t="shared" si="5"/>
        <v>11.6</v>
      </c>
      <c r="V33" s="5">
        <f t="shared" si="6"/>
        <v>11.25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599</v>
      </c>
      <c r="D34" s="3" t="s">
        <v>1467</v>
      </c>
      <c r="E34" s="3" t="s">
        <v>1414</v>
      </c>
      <c r="F34" s="3" t="s">
        <v>1819</v>
      </c>
      <c r="G34" s="3" t="s">
        <v>1539</v>
      </c>
      <c r="H34" s="51">
        <v>41705</v>
      </c>
      <c r="J34" s="3">
        <f t="shared" si="7"/>
        <v>14.37</v>
      </c>
      <c r="K34" s="3">
        <f t="shared" si="7"/>
        <v>13.99</v>
      </c>
      <c r="L34" s="3">
        <f t="shared" si="7"/>
        <v>14.44</v>
      </c>
      <c r="M34" s="3">
        <f t="shared" si="7"/>
        <v>13.93</v>
      </c>
      <c r="P34" s="14" t="s">
        <v>597</v>
      </c>
      <c r="Q34" s="10" t="str">
        <f t="shared" si="1"/>
        <v xml:space="preserve">GERDAU      -PN  </v>
      </c>
      <c r="R34" s="51">
        <f t="shared" si="2"/>
        <v>41705</v>
      </c>
      <c r="S34" s="5">
        <f t="shared" si="3"/>
        <v>14.37</v>
      </c>
      <c r="T34" s="5">
        <f t="shared" si="4"/>
        <v>13.99</v>
      </c>
      <c r="U34" s="5">
        <f t="shared" si="5"/>
        <v>14.44</v>
      </c>
      <c r="V34" s="5">
        <f t="shared" si="6"/>
        <v>13.93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602</v>
      </c>
      <c r="D35" s="3" t="s">
        <v>1820</v>
      </c>
      <c r="E35" s="3" t="s">
        <v>1430</v>
      </c>
      <c r="F35" s="3" t="s">
        <v>1820</v>
      </c>
      <c r="G35" s="3" t="s">
        <v>1821</v>
      </c>
      <c r="H35" s="51">
        <v>41705</v>
      </c>
      <c r="J35" s="3">
        <f t="shared" si="7"/>
        <v>14.15</v>
      </c>
      <c r="K35" s="3">
        <f t="shared" si="7"/>
        <v>13.67</v>
      </c>
      <c r="L35" s="3">
        <f t="shared" si="7"/>
        <v>14.15</v>
      </c>
      <c r="M35" s="3">
        <f t="shared" si="7"/>
        <v>13.63</v>
      </c>
      <c r="P35" s="14" t="s">
        <v>600</v>
      </c>
      <c r="Q35" s="10" t="str">
        <f t="shared" si="1"/>
        <v xml:space="preserve">GERDAU MET  -ON  </v>
      </c>
      <c r="R35" s="51">
        <f t="shared" si="2"/>
        <v>41705</v>
      </c>
      <c r="S35" s="5">
        <f t="shared" si="3"/>
        <v>14.15</v>
      </c>
      <c r="T35" s="5">
        <f t="shared" si="4"/>
        <v>13.67</v>
      </c>
      <c r="U35" s="5">
        <f t="shared" si="5"/>
        <v>14.15</v>
      </c>
      <c r="V35" s="5">
        <f t="shared" si="6"/>
        <v>13.63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603</v>
      </c>
      <c r="D36" s="3" t="s">
        <v>1503</v>
      </c>
      <c r="E36" s="3" t="s">
        <v>1677</v>
      </c>
      <c r="F36" s="3" t="s">
        <v>1822</v>
      </c>
      <c r="G36" s="3" t="s">
        <v>1682</v>
      </c>
      <c r="H36" s="51">
        <v>41705</v>
      </c>
      <c r="J36" s="3">
        <f t="shared" si="7"/>
        <v>17.559999999999999</v>
      </c>
      <c r="K36" s="3">
        <f t="shared" si="7"/>
        <v>17.07</v>
      </c>
      <c r="L36" s="3">
        <f t="shared" si="7"/>
        <v>17.62</v>
      </c>
      <c r="M36" s="3">
        <f t="shared" si="7"/>
        <v>17.02</v>
      </c>
      <c r="P36" s="14" t="s">
        <v>601</v>
      </c>
      <c r="Q36" s="10" t="str">
        <f t="shared" si="1"/>
        <v xml:space="preserve">GERDAU MET  -PN  </v>
      </c>
      <c r="R36" s="51">
        <f t="shared" si="2"/>
        <v>41705</v>
      </c>
      <c r="S36" s="5">
        <f t="shared" si="3"/>
        <v>17.559999999999999</v>
      </c>
      <c r="T36" s="5">
        <f t="shared" si="4"/>
        <v>17.07</v>
      </c>
      <c r="U36" s="5">
        <f t="shared" si="5"/>
        <v>17.62</v>
      </c>
      <c r="V36" s="5">
        <f t="shared" si="6"/>
        <v>17.02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606</v>
      </c>
      <c r="D37" s="3" t="s">
        <v>426</v>
      </c>
      <c r="E37" s="3" t="s">
        <v>607</v>
      </c>
      <c r="F37" s="3" t="s">
        <v>607</v>
      </c>
      <c r="G37" s="3" t="s">
        <v>607</v>
      </c>
      <c r="H37" s="51">
        <v>41705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604</v>
      </c>
      <c r="Q37" s="10" t="str">
        <f t="shared" si="1"/>
        <v>FIBAM       -ON</v>
      </c>
      <c r="R37" s="51">
        <f t="shared" si="2"/>
        <v>41705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608</v>
      </c>
      <c r="D38" s="3" t="s">
        <v>612</v>
      </c>
      <c r="E38" s="3" t="s">
        <v>1523</v>
      </c>
      <c r="F38" s="3" t="s">
        <v>612</v>
      </c>
      <c r="G38" s="3" t="s">
        <v>1523</v>
      </c>
      <c r="H38" s="51">
        <v>41705</v>
      </c>
      <c r="J38" s="3">
        <f t="shared" si="7"/>
        <v>25</v>
      </c>
      <c r="K38" s="3">
        <f t="shared" si="7"/>
        <v>24.5</v>
      </c>
      <c r="L38" s="3">
        <f t="shared" si="7"/>
        <v>25</v>
      </c>
      <c r="M38" s="3">
        <f t="shared" si="7"/>
        <v>24.5</v>
      </c>
      <c r="P38" s="15" t="s">
        <v>605</v>
      </c>
      <c r="Q38" s="10" t="str">
        <f t="shared" si="1"/>
        <v>FIBAM       -PN</v>
      </c>
      <c r="R38" s="51">
        <f t="shared" si="2"/>
        <v>41705</v>
      </c>
      <c r="S38" s="5">
        <f t="shared" si="3"/>
        <v>25</v>
      </c>
      <c r="T38" s="5">
        <f t="shared" si="4"/>
        <v>24.5</v>
      </c>
      <c r="U38" s="5">
        <f t="shared" si="5"/>
        <v>25</v>
      </c>
      <c r="V38" s="5">
        <f t="shared" si="6"/>
        <v>24.5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611</v>
      </c>
      <c r="D39" s="3" t="s">
        <v>426</v>
      </c>
      <c r="E39" s="3" t="s">
        <v>612</v>
      </c>
      <c r="F39" s="3" t="s">
        <v>612</v>
      </c>
      <c r="G39" s="3" t="s">
        <v>612</v>
      </c>
      <c r="H39" s="51">
        <v>41705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609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41705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613</v>
      </c>
      <c r="D40" s="3" t="s">
        <v>1520</v>
      </c>
      <c r="E40" s="3" t="s">
        <v>910</v>
      </c>
      <c r="F40" s="3" t="s">
        <v>910</v>
      </c>
      <c r="G40" s="3" t="s">
        <v>1520</v>
      </c>
      <c r="H40" s="51">
        <v>41705</v>
      </c>
      <c r="J40" s="3">
        <f t="shared" si="7"/>
        <v>0.57999999999999996</v>
      </c>
      <c r="K40" s="3">
        <f t="shared" si="7"/>
        <v>0.6</v>
      </c>
      <c r="L40" s="3">
        <f t="shared" si="7"/>
        <v>0.6</v>
      </c>
      <c r="M40" s="3">
        <f t="shared" si="7"/>
        <v>0.57999999999999996</v>
      </c>
      <c r="P40" s="14" t="s">
        <v>610</v>
      </c>
      <c r="Q40" s="10" t="str">
        <f t="shared" si="8"/>
        <v xml:space="preserve">MANGELS INDL-PN  </v>
      </c>
      <c r="R40" s="51">
        <f t="shared" si="9"/>
        <v>41705</v>
      </c>
      <c r="S40" s="5">
        <f t="shared" si="10"/>
        <v>0.57999999999999996</v>
      </c>
      <c r="T40" s="5">
        <f t="shared" si="11"/>
        <v>0.6</v>
      </c>
      <c r="U40" s="5">
        <f t="shared" si="12"/>
        <v>0.6</v>
      </c>
      <c r="V40" s="5">
        <f t="shared" si="13"/>
        <v>0.57999999999999996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616</v>
      </c>
      <c r="D41" s="3" t="s">
        <v>426</v>
      </c>
      <c r="E41" s="3" t="s">
        <v>617</v>
      </c>
      <c r="F41" s="3" t="s">
        <v>617</v>
      </c>
      <c r="G41" s="3" t="s">
        <v>617</v>
      </c>
      <c r="H41" s="51">
        <v>41705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614</v>
      </c>
      <c r="Q41" s="10" t="str">
        <f t="shared" si="8"/>
        <v>MET DUQUE   -ON</v>
      </c>
      <c r="R41" s="51">
        <f t="shared" si="9"/>
        <v>41705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618</v>
      </c>
      <c r="D42" s="3" t="s">
        <v>1415</v>
      </c>
      <c r="E42" s="3" t="s">
        <v>1427</v>
      </c>
      <c r="F42" s="3" t="s">
        <v>1427</v>
      </c>
      <c r="G42" s="3" t="s">
        <v>1415</v>
      </c>
      <c r="H42" s="51">
        <v>41705</v>
      </c>
      <c r="J42" s="3">
        <f t="shared" si="7"/>
        <v>3.99</v>
      </c>
      <c r="K42" s="3">
        <f t="shared" si="7"/>
        <v>4.25</v>
      </c>
      <c r="L42" s="3">
        <f t="shared" si="7"/>
        <v>4.25</v>
      </c>
      <c r="M42" s="3">
        <f t="shared" si="7"/>
        <v>3.99</v>
      </c>
      <c r="P42" s="14" t="s">
        <v>615</v>
      </c>
      <c r="Q42" s="10" t="str">
        <f t="shared" si="8"/>
        <v>MET DUQUE   -PN</v>
      </c>
      <c r="R42" s="51">
        <f t="shared" si="9"/>
        <v>41705</v>
      </c>
      <c r="S42" s="5">
        <f t="shared" si="10"/>
        <v>3.99</v>
      </c>
      <c r="T42" s="5">
        <f t="shared" si="11"/>
        <v>4.25</v>
      </c>
      <c r="U42" s="5">
        <f t="shared" si="12"/>
        <v>4.25</v>
      </c>
      <c r="V42" s="5">
        <f t="shared" si="13"/>
        <v>3.99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621</v>
      </c>
      <c r="D43" s="3" t="s">
        <v>1823</v>
      </c>
      <c r="E43" s="3" t="s">
        <v>1824</v>
      </c>
      <c r="F43" s="3" t="s">
        <v>1825</v>
      </c>
      <c r="G43" s="3" t="s">
        <v>1654</v>
      </c>
      <c r="H43" s="51">
        <v>41705</v>
      </c>
      <c r="J43" s="3">
        <f t="shared" si="7"/>
        <v>3.44</v>
      </c>
      <c r="K43" s="3">
        <f t="shared" si="7"/>
        <v>3.36</v>
      </c>
      <c r="L43" s="3">
        <f t="shared" si="7"/>
        <v>3.49</v>
      </c>
      <c r="M43" s="3">
        <f t="shared" si="7"/>
        <v>3.35</v>
      </c>
      <c r="P43" s="14" t="s">
        <v>620</v>
      </c>
      <c r="Q43" s="10" t="str">
        <f t="shared" si="8"/>
        <v xml:space="preserve">PARANAPANEMA-ON  </v>
      </c>
      <c r="R43" s="51">
        <f t="shared" si="9"/>
        <v>41705</v>
      </c>
      <c r="S43" s="5">
        <f t="shared" si="10"/>
        <v>3.44</v>
      </c>
      <c r="T43" s="5">
        <f t="shared" si="11"/>
        <v>3.36</v>
      </c>
      <c r="U43" s="5">
        <f t="shared" si="12"/>
        <v>3.49</v>
      </c>
      <c r="V43" s="5">
        <f t="shared" si="13"/>
        <v>3.35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627</v>
      </c>
      <c r="D44" s="3" t="s">
        <v>426</v>
      </c>
      <c r="E44" s="3" t="s">
        <v>517</v>
      </c>
      <c r="F44" s="3" t="s">
        <v>517</v>
      </c>
      <c r="G44" s="3" t="s">
        <v>517</v>
      </c>
      <c r="H44" s="51">
        <v>41705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623</v>
      </c>
      <c r="Q44" s="10" t="str">
        <f t="shared" si="8"/>
        <v>MILLENNIUM  -ON</v>
      </c>
      <c r="R44" s="51">
        <f t="shared" si="9"/>
        <v>41705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628</v>
      </c>
      <c r="D45" s="3" t="s">
        <v>709</v>
      </c>
      <c r="E45" s="3" t="s">
        <v>709</v>
      </c>
      <c r="F45" s="3" t="s">
        <v>709</v>
      </c>
      <c r="G45" s="3" t="s">
        <v>709</v>
      </c>
      <c r="H45" s="51">
        <v>41705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624</v>
      </c>
      <c r="Q45" s="10" t="str">
        <f t="shared" si="8"/>
        <v>MILLENNIUM  -PNA</v>
      </c>
      <c r="R45" s="51">
        <f t="shared" si="9"/>
        <v>41705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629</v>
      </c>
      <c r="D46" s="3" t="s">
        <v>709</v>
      </c>
      <c r="E46" s="3" t="s">
        <v>709</v>
      </c>
      <c r="F46" s="3" t="s">
        <v>709</v>
      </c>
      <c r="G46" s="3" t="s">
        <v>709</v>
      </c>
      <c r="H46" s="51">
        <v>41705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625</v>
      </c>
      <c r="Q46" s="10" t="str">
        <f t="shared" si="8"/>
        <v>MILLENNIUM  -PNB</v>
      </c>
      <c r="R46" s="46">
        <f t="shared" si="9"/>
        <v>41705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644</v>
      </c>
      <c r="D47" s="3" t="s">
        <v>1826</v>
      </c>
      <c r="E47" s="3" t="s">
        <v>1826</v>
      </c>
      <c r="F47" s="3" t="s">
        <v>1826</v>
      </c>
      <c r="G47" s="3" t="s">
        <v>1826</v>
      </c>
      <c r="H47" s="51">
        <v>41705</v>
      </c>
      <c r="J47" s="3">
        <f t="shared" si="7"/>
        <v>0.47</v>
      </c>
      <c r="K47" s="3">
        <f t="shared" si="7"/>
        <v>0.47</v>
      </c>
      <c r="L47" s="3">
        <f t="shared" si="7"/>
        <v>0.47</v>
      </c>
      <c r="M47" s="3">
        <f t="shared" si="7"/>
        <v>0.47</v>
      </c>
      <c r="P47" s="14" t="s">
        <v>643</v>
      </c>
      <c r="Q47" s="10" t="str">
        <f t="shared" si="8"/>
        <v>GPC PART    -ON</v>
      </c>
      <c r="R47" s="51">
        <f t="shared" si="9"/>
        <v>41705</v>
      </c>
      <c r="S47" s="5">
        <f t="shared" si="10"/>
        <v>0.47</v>
      </c>
      <c r="T47" s="5">
        <f t="shared" si="11"/>
        <v>0.47</v>
      </c>
      <c r="U47" s="5">
        <f t="shared" si="12"/>
        <v>0.47</v>
      </c>
      <c r="V47" s="5">
        <f t="shared" si="13"/>
        <v>0.47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646</v>
      </c>
      <c r="D48" s="3" t="s">
        <v>772</v>
      </c>
      <c r="E48" s="3" t="s">
        <v>1827</v>
      </c>
      <c r="F48" s="3" t="s">
        <v>772</v>
      </c>
      <c r="G48" s="3" t="s">
        <v>1827</v>
      </c>
      <c r="H48" s="51">
        <v>41705</v>
      </c>
      <c r="J48" s="3">
        <f t="shared" si="7"/>
        <v>7.0000000000000007E-2</v>
      </c>
      <c r="K48" s="3">
        <f t="shared" si="7"/>
        <v>0.06</v>
      </c>
      <c r="L48" s="3">
        <f t="shared" si="7"/>
        <v>7.0000000000000007E-2</v>
      </c>
      <c r="M48" s="3">
        <f t="shared" si="7"/>
        <v>0.06</v>
      </c>
      <c r="P48" s="14" t="s">
        <v>645</v>
      </c>
      <c r="Q48" s="10" t="str">
        <f t="shared" si="8"/>
        <v>M G POLIEST -ON</v>
      </c>
      <c r="R48" s="51">
        <f t="shared" si="9"/>
        <v>41705</v>
      </c>
      <c r="S48" s="5">
        <f t="shared" si="10"/>
        <v>7.0000000000000007E-2</v>
      </c>
      <c r="T48" s="5">
        <f t="shared" si="11"/>
        <v>0.06</v>
      </c>
      <c r="U48" s="5">
        <f t="shared" si="12"/>
        <v>7.0000000000000007E-2</v>
      </c>
      <c r="V48" s="5">
        <f t="shared" si="13"/>
        <v>0.06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324</v>
      </c>
      <c r="D49" s="3" t="s">
        <v>685</v>
      </c>
      <c r="E49" s="3" t="s">
        <v>685</v>
      </c>
      <c r="F49" s="3" t="s">
        <v>685</v>
      </c>
      <c r="G49" s="3" t="s">
        <v>685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323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651</v>
      </c>
      <c r="D50" s="3" t="s">
        <v>1361</v>
      </c>
      <c r="E50" s="3" t="s">
        <v>462</v>
      </c>
      <c r="F50" s="3" t="s">
        <v>1361</v>
      </c>
      <c r="G50" s="3" t="s">
        <v>1326</v>
      </c>
      <c r="H50" s="51">
        <v>41705</v>
      </c>
      <c r="J50" s="3">
        <f t="shared" si="7"/>
        <v>1.03</v>
      </c>
      <c r="K50" s="3">
        <f t="shared" si="7"/>
        <v>1</v>
      </c>
      <c r="L50" s="3">
        <f t="shared" si="7"/>
        <v>1.03</v>
      </c>
      <c r="M50" s="3">
        <f t="shared" si="7"/>
        <v>0.99</v>
      </c>
      <c r="P50" s="15" t="s">
        <v>650</v>
      </c>
      <c r="Q50" s="10" t="str">
        <f t="shared" si="8"/>
        <v xml:space="preserve">CCX CARVAO  -ON  </v>
      </c>
      <c r="R50" s="46">
        <f t="shared" si="9"/>
        <v>41705</v>
      </c>
      <c r="S50" s="6">
        <f t="shared" si="10"/>
        <v>1.03</v>
      </c>
      <c r="T50" s="6">
        <f t="shared" si="11"/>
        <v>1</v>
      </c>
      <c r="U50" s="6">
        <f t="shared" si="12"/>
        <v>1.03</v>
      </c>
      <c r="V50" s="6">
        <f t="shared" si="13"/>
        <v>0.99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654</v>
      </c>
      <c r="D51" s="3" t="s">
        <v>1828</v>
      </c>
      <c r="E51" s="3" t="s">
        <v>1829</v>
      </c>
      <c r="F51" s="3" t="s">
        <v>1524</v>
      </c>
      <c r="G51" s="3" t="s">
        <v>1829</v>
      </c>
      <c r="H51" s="51">
        <v>41705</v>
      </c>
      <c r="J51" s="3">
        <f t="shared" si="7"/>
        <v>2.96</v>
      </c>
      <c r="K51" s="3">
        <f t="shared" si="7"/>
        <v>2.91</v>
      </c>
      <c r="L51" s="3">
        <f t="shared" si="7"/>
        <v>2.98</v>
      </c>
      <c r="M51" s="3">
        <f t="shared" si="7"/>
        <v>2.91</v>
      </c>
      <c r="P51" s="14" t="s">
        <v>653</v>
      </c>
      <c r="Q51" s="10" t="str">
        <f t="shared" si="8"/>
        <v xml:space="preserve">MMX MINER   -ON  </v>
      </c>
      <c r="R51" s="51">
        <f t="shared" si="9"/>
        <v>41705</v>
      </c>
      <c r="S51" s="5">
        <f t="shared" si="10"/>
        <v>2.96</v>
      </c>
      <c r="T51" s="5">
        <f t="shared" si="11"/>
        <v>2.91</v>
      </c>
      <c r="U51" s="5">
        <f t="shared" si="12"/>
        <v>2.98</v>
      </c>
      <c r="V51" s="5">
        <f t="shared" si="13"/>
        <v>2.91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660</v>
      </c>
      <c r="D52" s="3" t="s">
        <v>426</v>
      </c>
      <c r="E52" s="3" t="s">
        <v>661</v>
      </c>
      <c r="F52" s="3" t="s">
        <v>661</v>
      </c>
      <c r="G52" s="3" t="s">
        <v>661</v>
      </c>
      <c r="H52" s="51">
        <v>41705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655</v>
      </c>
      <c r="Q52" s="10" t="str">
        <f t="shared" si="8"/>
        <v>SANSUY      -ON</v>
      </c>
      <c r="R52" s="51">
        <f t="shared" si="9"/>
        <v>41705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662</v>
      </c>
      <c r="D53" s="3" t="s">
        <v>464</v>
      </c>
      <c r="E53" s="3" t="s">
        <v>464</v>
      </c>
      <c r="F53" s="3" t="s">
        <v>464</v>
      </c>
      <c r="G53" s="3" t="s">
        <v>464</v>
      </c>
      <c r="H53" s="51">
        <v>41705</v>
      </c>
      <c r="J53" s="3">
        <f t="shared" si="7"/>
        <v>0.75</v>
      </c>
      <c r="K53" s="3">
        <f t="shared" si="7"/>
        <v>0.75</v>
      </c>
      <c r="L53" s="3">
        <f t="shared" si="7"/>
        <v>0.75</v>
      </c>
      <c r="M53" s="3">
        <f t="shared" si="7"/>
        <v>0.75</v>
      </c>
      <c r="P53" s="14" t="s">
        <v>656</v>
      </c>
      <c r="Q53" s="10" t="str">
        <f t="shared" si="8"/>
        <v>SANSUY      -PNA</v>
      </c>
      <c r="R53" s="51">
        <f t="shared" si="9"/>
        <v>41705</v>
      </c>
      <c r="S53" s="5">
        <f t="shared" si="10"/>
        <v>0.75</v>
      </c>
      <c r="T53" s="5">
        <f t="shared" si="11"/>
        <v>0.75</v>
      </c>
      <c r="U53" s="5">
        <f t="shared" si="12"/>
        <v>0.75</v>
      </c>
      <c r="V53" s="5">
        <f t="shared" si="13"/>
        <v>0.75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663</v>
      </c>
      <c r="D54" s="3" t="s">
        <v>426</v>
      </c>
      <c r="E54" s="61" t="s">
        <v>664</v>
      </c>
      <c r="F54" s="61" t="s">
        <v>664</v>
      </c>
      <c r="G54" s="61" t="s">
        <v>664</v>
      </c>
      <c r="H54" s="51">
        <v>41705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657</v>
      </c>
      <c r="Q54" s="10" t="str">
        <f t="shared" si="8"/>
        <v>SANSUY      -PNB</v>
      </c>
      <c r="R54" s="51">
        <f t="shared" si="9"/>
        <v>41705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667</v>
      </c>
      <c r="D55" s="3" t="s">
        <v>426</v>
      </c>
      <c r="E55" s="3" t="s">
        <v>915</v>
      </c>
      <c r="F55" s="3" t="s">
        <v>915</v>
      </c>
      <c r="G55" s="3" t="s">
        <v>915</v>
      </c>
      <c r="H55" s="51">
        <v>41705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665</v>
      </c>
      <c r="Q55" s="10" t="str">
        <f t="shared" si="8"/>
        <v>MELHOR SP   -ON</v>
      </c>
      <c r="R55" s="51">
        <f t="shared" si="9"/>
        <v>41705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668</v>
      </c>
      <c r="D56" s="3" t="s">
        <v>1431</v>
      </c>
      <c r="E56" s="3" t="s">
        <v>1431</v>
      </c>
      <c r="F56" s="3" t="s">
        <v>1431</v>
      </c>
      <c r="G56" s="3" t="s">
        <v>1431</v>
      </c>
      <c r="H56" s="51">
        <v>41705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666</v>
      </c>
      <c r="Q56" s="10" t="str">
        <f t="shared" si="8"/>
        <v>MELHOR SP   -PN</v>
      </c>
      <c r="R56" s="51">
        <f t="shared" si="9"/>
        <v>41705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670</v>
      </c>
      <c r="D57" s="3" t="s">
        <v>1830</v>
      </c>
      <c r="E57" s="3" t="s">
        <v>1831</v>
      </c>
      <c r="F57" s="3" t="s">
        <v>1832</v>
      </c>
      <c r="G57" s="3" t="s">
        <v>1833</v>
      </c>
      <c r="H57" s="51">
        <v>41705</v>
      </c>
      <c r="J57" s="3">
        <f t="shared" si="7"/>
        <v>24.74</v>
      </c>
      <c r="K57" s="3">
        <f t="shared" si="7"/>
        <v>24.85</v>
      </c>
      <c r="L57" s="3">
        <f t="shared" si="7"/>
        <v>25.57</v>
      </c>
      <c r="M57" s="3">
        <f t="shared" si="7"/>
        <v>24.49</v>
      </c>
      <c r="P57" s="10" t="s">
        <v>669</v>
      </c>
      <c r="Q57" s="10" t="str">
        <f t="shared" si="8"/>
        <v xml:space="preserve">FIBRIA      -ON  </v>
      </c>
      <c r="R57" s="51">
        <f t="shared" si="9"/>
        <v>41705</v>
      </c>
      <c r="S57" s="5">
        <f t="shared" si="10"/>
        <v>24.74</v>
      </c>
      <c r="T57" s="5">
        <f t="shared" si="11"/>
        <v>24.85</v>
      </c>
      <c r="U57" s="5">
        <f t="shared" si="12"/>
        <v>25.57</v>
      </c>
      <c r="V57" s="5">
        <f t="shared" si="13"/>
        <v>24.49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672</v>
      </c>
      <c r="D58" s="3" t="s">
        <v>1834</v>
      </c>
      <c r="E58" s="3" t="s">
        <v>1835</v>
      </c>
      <c r="F58" s="3" t="s">
        <v>1836</v>
      </c>
      <c r="G58" s="3" t="s">
        <v>1837</v>
      </c>
      <c r="H58" s="51">
        <v>41705</v>
      </c>
      <c r="J58" s="3">
        <f t="shared" si="7"/>
        <v>56.49</v>
      </c>
      <c r="K58" s="3">
        <f t="shared" si="7"/>
        <v>55.83</v>
      </c>
      <c r="L58" s="3">
        <f t="shared" si="7"/>
        <v>56.56</v>
      </c>
      <c r="M58" s="3">
        <f t="shared" si="7"/>
        <v>55.6</v>
      </c>
      <c r="P58" s="14" t="s">
        <v>671</v>
      </c>
      <c r="Q58" s="10" t="str">
        <f t="shared" si="8"/>
        <v xml:space="preserve">KLABIN S/A  -UNT </v>
      </c>
      <c r="R58" s="51">
        <f t="shared" si="9"/>
        <v>41705</v>
      </c>
      <c r="S58" s="5">
        <f t="shared" si="10"/>
        <v>56.49</v>
      </c>
      <c r="T58" s="5">
        <f t="shared" si="11"/>
        <v>55.83</v>
      </c>
      <c r="U58" s="5">
        <f t="shared" si="12"/>
        <v>56.56</v>
      </c>
      <c r="V58" s="5">
        <f t="shared" si="13"/>
        <v>55.6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674</v>
      </c>
      <c r="D59" s="3" t="s">
        <v>426</v>
      </c>
      <c r="E59" s="61" t="s">
        <v>185</v>
      </c>
      <c r="F59" s="61" t="s">
        <v>185</v>
      </c>
      <c r="G59" s="61" t="s">
        <v>185</v>
      </c>
      <c r="H59" s="51">
        <v>41705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673</v>
      </c>
      <c r="Q59" s="10" t="str">
        <f t="shared" si="8"/>
        <v xml:space="preserve">SUZANO PAPEL-ON  </v>
      </c>
      <c r="R59" s="46">
        <f t="shared" si="9"/>
        <v>41705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676</v>
      </c>
      <c r="D60" s="3" t="s">
        <v>426</v>
      </c>
      <c r="E60" s="61" t="s">
        <v>677</v>
      </c>
      <c r="F60" s="61" t="s">
        <v>677</v>
      </c>
      <c r="G60" s="61" t="s">
        <v>677</v>
      </c>
      <c r="H60" s="51">
        <v>41705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675</v>
      </c>
      <c r="Q60" s="10" t="str">
        <f t="shared" si="8"/>
        <v xml:space="preserve">EUCATEX     -ON  </v>
      </c>
      <c r="R60" s="51">
        <f t="shared" si="9"/>
        <v>41705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681</v>
      </c>
      <c r="D61" s="3" t="s">
        <v>426</v>
      </c>
      <c r="E61" s="3" t="s">
        <v>658</v>
      </c>
      <c r="F61" s="3" t="s">
        <v>658</v>
      </c>
      <c r="G61" s="3" t="s">
        <v>658</v>
      </c>
      <c r="H61" s="51">
        <v>41705</v>
      </c>
      <c r="J61" s="3" t="e">
        <f t="shared" si="7"/>
        <v>#VALUE!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679</v>
      </c>
      <c r="Q61" s="10" t="str">
        <f t="shared" si="8"/>
        <v>METAL IGUACU-ON</v>
      </c>
      <c r="R61" s="51">
        <f t="shared" si="9"/>
        <v>41705</v>
      </c>
      <c r="S61" s="5" t="e">
        <f t="shared" si="10"/>
        <v>#VALUE!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682</v>
      </c>
      <c r="D62" s="3" t="s">
        <v>758</v>
      </c>
      <c r="E62" s="3" t="s">
        <v>555</v>
      </c>
      <c r="F62" s="3" t="s">
        <v>555</v>
      </c>
      <c r="G62" s="3" t="s">
        <v>758</v>
      </c>
      <c r="H62" s="51">
        <v>41705</v>
      </c>
      <c r="J62" s="3">
        <f t="shared" si="7"/>
        <v>0.1</v>
      </c>
      <c r="K62" s="3">
        <f t="shared" si="7"/>
        <v>0.11</v>
      </c>
      <c r="L62" s="3">
        <f t="shared" si="7"/>
        <v>0.11</v>
      </c>
      <c r="M62" s="3">
        <f t="shared" si="7"/>
        <v>0.1</v>
      </c>
      <c r="P62" s="14" t="s">
        <v>680</v>
      </c>
      <c r="Q62" s="10" t="str">
        <f t="shared" si="8"/>
        <v>METAL IGUACU-PN</v>
      </c>
      <c r="R62" s="51">
        <f t="shared" si="9"/>
        <v>41705</v>
      </c>
      <c r="S62" s="5">
        <f t="shared" si="10"/>
        <v>0.1</v>
      </c>
      <c r="T62" s="5">
        <f t="shared" si="11"/>
        <v>0.11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830</v>
      </c>
      <c r="D63" s="3" t="s">
        <v>426</v>
      </c>
      <c r="E63" s="3" t="s">
        <v>391</v>
      </c>
      <c r="F63" s="3" t="s">
        <v>391</v>
      </c>
      <c r="G63" s="3" t="s">
        <v>391</v>
      </c>
      <c r="H63" s="51">
        <v>41705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827</v>
      </c>
      <c r="Q63" s="10" t="str">
        <f t="shared" si="8"/>
        <v>CAF BRASILIA-PN *</v>
      </c>
      <c r="R63" s="51">
        <f t="shared" si="9"/>
        <v>41705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686</v>
      </c>
      <c r="D64" s="3" t="s">
        <v>126</v>
      </c>
      <c r="E64" s="3" t="s">
        <v>126</v>
      </c>
      <c r="F64" s="3" t="s">
        <v>126</v>
      </c>
      <c r="G64" s="3" t="s">
        <v>126</v>
      </c>
      <c r="H64" s="51">
        <v>41705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683</v>
      </c>
      <c r="Q64" s="10" t="str">
        <f t="shared" si="8"/>
        <v>PAR AL BAHIA-ON</v>
      </c>
      <c r="R64" s="51">
        <f t="shared" si="9"/>
        <v>41705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687</v>
      </c>
      <c r="D65" s="3" t="s">
        <v>1838</v>
      </c>
      <c r="E65" s="3" t="s">
        <v>1838</v>
      </c>
      <c r="F65" s="3" t="s">
        <v>1838</v>
      </c>
      <c r="G65" s="3" t="s">
        <v>1838</v>
      </c>
      <c r="H65" s="51">
        <v>41705</v>
      </c>
      <c r="J65" s="3">
        <f t="shared" si="7"/>
        <v>30.01</v>
      </c>
      <c r="K65" s="3">
        <f t="shared" si="7"/>
        <v>30.01</v>
      </c>
      <c r="L65" s="3">
        <f t="shared" si="7"/>
        <v>30.01</v>
      </c>
      <c r="M65" s="3">
        <f t="shared" si="7"/>
        <v>30.01</v>
      </c>
      <c r="P65" s="14" t="s">
        <v>684</v>
      </c>
      <c r="Q65" s="10" t="str">
        <f t="shared" si="8"/>
        <v>PAR AL BAHIA-PN</v>
      </c>
      <c r="R65" s="51">
        <f t="shared" si="9"/>
        <v>41705</v>
      </c>
      <c r="S65" s="5">
        <f t="shared" si="10"/>
        <v>30.01</v>
      </c>
      <c r="T65" s="5">
        <f t="shared" si="11"/>
        <v>30.01</v>
      </c>
      <c r="U65" s="5">
        <f t="shared" si="12"/>
        <v>30.01</v>
      </c>
      <c r="V65" s="5">
        <f t="shared" si="13"/>
        <v>30.01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690</v>
      </c>
      <c r="D66" s="3" t="s">
        <v>426</v>
      </c>
      <c r="E66" s="3" t="s">
        <v>427</v>
      </c>
      <c r="F66" s="3" t="s">
        <v>426</v>
      </c>
      <c r="G66" s="3" t="s">
        <v>426</v>
      </c>
      <c r="H66" s="51" t="s">
        <v>426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688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691</v>
      </c>
      <c r="D67" s="3" t="s">
        <v>426</v>
      </c>
      <c r="E67" s="3" t="s">
        <v>427</v>
      </c>
      <c r="F67" s="3" t="s">
        <v>426</v>
      </c>
      <c r="G67" s="3" t="s">
        <v>426</v>
      </c>
      <c r="H67" s="51" t="s">
        <v>426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689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694</v>
      </c>
      <c r="D68" s="3" t="s">
        <v>989</v>
      </c>
      <c r="E68" s="3" t="s">
        <v>912</v>
      </c>
      <c r="F68" s="3" t="s">
        <v>912</v>
      </c>
      <c r="G68" s="3" t="s">
        <v>989</v>
      </c>
      <c r="H68" s="51">
        <v>41705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692</v>
      </c>
      <c r="Q68" s="10" t="str">
        <f t="shared" si="8"/>
        <v>BATTISTELLA -ON</v>
      </c>
      <c r="R68" s="51">
        <f t="shared" si="9"/>
        <v>41705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695</v>
      </c>
      <c r="D69" s="3" t="s">
        <v>1351</v>
      </c>
      <c r="E69" s="3" t="s">
        <v>1777</v>
      </c>
      <c r="F69" s="3" t="s">
        <v>1777</v>
      </c>
      <c r="G69" s="3" t="s">
        <v>1351</v>
      </c>
      <c r="H69" s="51">
        <v>41705</v>
      </c>
      <c r="J69" s="3">
        <f t="shared" si="7"/>
        <v>0.84</v>
      </c>
      <c r="K69" s="3">
        <f t="shared" si="7"/>
        <v>0.9</v>
      </c>
      <c r="L69" s="3">
        <f t="shared" si="7"/>
        <v>0.9</v>
      </c>
      <c r="M69" s="3">
        <f t="shared" si="7"/>
        <v>0.84</v>
      </c>
      <c r="P69" s="14" t="s">
        <v>693</v>
      </c>
      <c r="Q69" s="10" t="str">
        <f t="shared" si="8"/>
        <v>BATTISTELLA -PN</v>
      </c>
      <c r="R69" s="51">
        <f t="shared" si="9"/>
        <v>41705</v>
      </c>
      <c r="S69" s="5">
        <f t="shared" si="10"/>
        <v>0.84</v>
      </c>
      <c r="T69" s="5">
        <f t="shared" si="11"/>
        <v>0.9</v>
      </c>
      <c r="U69" s="5">
        <f t="shared" si="12"/>
        <v>0.9</v>
      </c>
      <c r="V69" s="5">
        <f t="shared" si="13"/>
        <v>0.84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698</v>
      </c>
      <c r="D70" s="3" t="s">
        <v>426</v>
      </c>
      <c r="E70" s="3" t="s">
        <v>427</v>
      </c>
      <c r="F70" s="3" t="s">
        <v>426</v>
      </c>
      <c r="G70" s="3" t="s">
        <v>426</v>
      </c>
      <c r="H70" s="51" t="s">
        <v>426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696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699</v>
      </c>
      <c r="D71" s="3" t="s">
        <v>426</v>
      </c>
      <c r="E71" s="3" t="s">
        <v>427</v>
      </c>
      <c r="F71" s="3" t="s">
        <v>426</v>
      </c>
      <c r="G71" s="3" t="s">
        <v>426</v>
      </c>
      <c r="H71" s="51" t="s">
        <v>426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697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702</v>
      </c>
      <c r="D72" s="3" t="s">
        <v>426</v>
      </c>
      <c r="E72" s="3" t="s">
        <v>135</v>
      </c>
      <c r="F72" s="3" t="s">
        <v>135</v>
      </c>
      <c r="G72" s="3" t="s">
        <v>135</v>
      </c>
      <c r="H72" s="51">
        <v>41705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700</v>
      </c>
      <c r="Q72" s="10" t="str">
        <f t="shared" si="14"/>
        <v>DOCAS       -ON</v>
      </c>
      <c r="R72" s="51">
        <f t="shared" si="15"/>
        <v>41705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703</v>
      </c>
      <c r="D73" s="3" t="s">
        <v>426</v>
      </c>
      <c r="E73" s="3" t="s">
        <v>704</v>
      </c>
      <c r="F73" s="3" t="s">
        <v>704</v>
      </c>
      <c r="G73" s="3" t="s">
        <v>704</v>
      </c>
      <c r="H73" s="51">
        <v>41705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701</v>
      </c>
      <c r="Q73" s="10" t="str">
        <f t="shared" si="14"/>
        <v>DOCAS       -PN</v>
      </c>
      <c r="R73" s="51">
        <f t="shared" si="15"/>
        <v>41705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707</v>
      </c>
      <c r="D74" s="3" t="s">
        <v>1839</v>
      </c>
      <c r="E74" s="3" t="s">
        <v>1839</v>
      </c>
      <c r="F74" s="3" t="s">
        <v>1840</v>
      </c>
      <c r="G74" s="3" t="s">
        <v>1839</v>
      </c>
      <c r="H74" s="51">
        <v>41705</v>
      </c>
      <c r="J74" s="3">
        <f t="shared" si="20"/>
        <v>0.26</v>
      </c>
      <c r="K74" s="3">
        <f t="shared" si="20"/>
        <v>0.26</v>
      </c>
      <c r="L74" s="3">
        <f t="shared" si="20"/>
        <v>0.27</v>
      </c>
      <c r="M74" s="3">
        <f t="shared" si="20"/>
        <v>0.26</v>
      </c>
      <c r="P74" s="14" t="s">
        <v>705</v>
      </c>
      <c r="Q74" s="10" t="str">
        <f t="shared" si="14"/>
        <v>J B DUARTE  -ON</v>
      </c>
      <c r="R74" s="51">
        <f t="shared" si="15"/>
        <v>41705</v>
      </c>
      <c r="S74" s="5">
        <f t="shared" si="16"/>
        <v>0.26</v>
      </c>
      <c r="T74" s="5">
        <f t="shared" si="17"/>
        <v>0.26</v>
      </c>
      <c r="U74" s="5">
        <f t="shared" si="18"/>
        <v>0.27</v>
      </c>
      <c r="V74" s="5">
        <f t="shared" si="19"/>
        <v>0.26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708</v>
      </c>
      <c r="D75" s="3" t="s">
        <v>1380</v>
      </c>
      <c r="E75" s="3" t="s">
        <v>1380</v>
      </c>
      <c r="F75" s="3" t="s">
        <v>1352</v>
      </c>
      <c r="G75" s="3" t="s">
        <v>1395</v>
      </c>
      <c r="H75" s="51">
        <v>41705</v>
      </c>
      <c r="J75" s="3">
        <f t="shared" si="20"/>
        <v>0.15</v>
      </c>
      <c r="K75" s="3">
        <f t="shared" si="20"/>
        <v>0.15</v>
      </c>
      <c r="L75" s="3">
        <f t="shared" si="20"/>
        <v>0.16</v>
      </c>
      <c r="M75" s="3">
        <f t="shared" si="20"/>
        <v>0.14000000000000001</v>
      </c>
      <c r="P75" s="14" t="s">
        <v>706</v>
      </c>
      <c r="Q75" s="10" t="str">
        <f t="shared" si="14"/>
        <v>J B DUARTE  -PN</v>
      </c>
      <c r="R75" s="51">
        <f t="shared" si="15"/>
        <v>41705</v>
      </c>
      <c r="S75" s="5">
        <f t="shared" si="16"/>
        <v>0.15</v>
      </c>
      <c r="T75" s="5">
        <f t="shared" si="17"/>
        <v>0.15</v>
      </c>
      <c r="U75" s="5">
        <f t="shared" si="18"/>
        <v>0.16</v>
      </c>
      <c r="V75" s="5">
        <f t="shared" si="19"/>
        <v>0.14000000000000001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715</v>
      </c>
      <c r="D76" s="3" t="s">
        <v>1439</v>
      </c>
      <c r="E76" s="3" t="s">
        <v>1496</v>
      </c>
      <c r="F76" s="3" t="s">
        <v>1841</v>
      </c>
      <c r="G76" s="3" t="s">
        <v>1024</v>
      </c>
      <c r="H76" s="51">
        <v>41705</v>
      </c>
      <c r="J76" s="3">
        <f t="shared" si="20"/>
        <v>8.25</v>
      </c>
      <c r="K76" s="3">
        <f t="shared" si="20"/>
        <v>8.2200000000000006</v>
      </c>
      <c r="L76" s="3">
        <f t="shared" si="20"/>
        <v>8.4700000000000006</v>
      </c>
      <c r="M76" s="3">
        <f t="shared" si="20"/>
        <v>8.15</v>
      </c>
      <c r="P76" s="14" t="s">
        <v>710</v>
      </c>
      <c r="Q76" s="10" t="str">
        <f t="shared" si="14"/>
        <v xml:space="preserve">BRASILAGRO  -ON  </v>
      </c>
      <c r="R76" s="51">
        <f t="shared" si="15"/>
        <v>41705</v>
      </c>
      <c r="S76" s="5">
        <f t="shared" si="16"/>
        <v>8.25</v>
      </c>
      <c r="T76" s="5">
        <f t="shared" si="17"/>
        <v>8.2200000000000006</v>
      </c>
      <c r="U76" s="5">
        <f t="shared" si="18"/>
        <v>8.4700000000000006</v>
      </c>
      <c r="V76" s="5">
        <f t="shared" si="19"/>
        <v>8.15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716</v>
      </c>
      <c r="D77" s="3" t="s">
        <v>426</v>
      </c>
      <c r="E77" s="3" t="s">
        <v>427</v>
      </c>
      <c r="F77" s="3" t="s">
        <v>426</v>
      </c>
      <c r="G77" s="3" t="s">
        <v>426</v>
      </c>
      <c r="H77" s="51" t="s">
        <v>426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711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717</v>
      </c>
      <c r="D78" s="3" t="s">
        <v>426</v>
      </c>
      <c r="E78" s="3" t="s">
        <v>718</v>
      </c>
      <c r="F78" s="3" t="s">
        <v>718</v>
      </c>
      <c r="G78" s="3" t="s">
        <v>718</v>
      </c>
      <c r="H78" s="51">
        <v>41705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712</v>
      </c>
      <c r="Q78" s="10" t="str">
        <f t="shared" si="14"/>
        <v>COR RIBEIRO -PN</v>
      </c>
      <c r="R78" s="51">
        <f t="shared" si="15"/>
        <v>41705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722</v>
      </c>
      <c r="D79" s="3" t="s">
        <v>1842</v>
      </c>
      <c r="E79" s="3" t="s">
        <v>1803</v>
      </c>
      <c r="F79" s="3" t="s">
        <v>1842</v>
      </c>
      <c r="G79" s="3" t="s">
        <v>1747</v>
      </c>
      <c r="H79" s="51">
        <v>41705</v>
      </c>
      <c r="J79" s="3">
        <f t="shared" si="20"/>
        <v>8.1199999999999992</v>
      </c>
      <c r="K79" s="3">
        <f t="shared" si="20"/>
        <v>8.0399999999999991</v>
      </c>
      <c r="L79" s="3">
        <f t="shared" si="20"/>
        <v>8.1199999999999992</v>
      </c>
      <c r="M79" s="3">
        <f t="shared" si="20"/>
        <v>8.0299999999999994</v>
      </c>
      <c r="P79" s="15" t="s">
        <v>721</v>
      </c>
      <c r="Q79" s="10" t="str">
        <f t="shared" si="14"/>
        <v xml:space="preserve">GENERALSHOPP-ON  </v>
      </c>
      <c r="R79" s="51">
        <f t="shared" si="15"/>
        <v>41705</v>
      </c>
      <c r="S79" s="5">
        <f t="shared" si="16"/>
        <v>8.1199999999999992</v>
      </c>
      <c r="T79" s="5">
        <f t="shared" si="17"/>
        <v>8.0399999999999991</v>
      </c>
      <c r="U79" s="5">
        <f t="shared" si="18"/>
        <v>8.1199999999999992</v>
      </c>
      <c r="V79" s="5">
        <f t="shared" si="19"/>
        <v>8.0299999999999994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724</v>
      </c>
      <c r="D80" s="3" t="s">
        <v>426</v>
      </c>
      <c r="E80" s="3" t="s">
        <v>427</v>
      </c>
      <c r="F80" s="3" t="s">
        <v>426</v>
      </c>
      <c r="G80" s="3" t="s">
        <v>426</v>
      </c>
      <c r="H80" s="51" t="s">
        <v>426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723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727</v>
      </c>
      <c r="D81" s="3" t="s">
        <v>219</v>
      </c>
      <c r="E81" s="3" t="s">
        <v>1843</v>
      </c>
      <c r="F81" s="3" t="s">
        <v>1392</v>
      </c>
      <c r="G81" s="3" t="s">
        <v>1844</v>
      </c>
      <c r="H81" s="51">
        <v>41705</v>
      </c>
      <c r="J81" s="3">
        <f t="shared" si="20"/>
        <v>3.27</v>
      </c>
      <c r="K81" s="3">
        <f t="shared" si="20"/>
        <v>3.26</v>
      </c>
      <c r="L81" s="3">
        <f t="shared" si="20"/>
        <v>3.31</v>
      </c>
      <c r="M81" s="3">
        <f t="shared" si="20"/>
        <v>3.23</v>
      </c>
      <c r="P81" s="14" t="s">
        <v>725</v>
      </c>
      <c r="Q81" s="10" t="str">
        <f t="shared" si="14"/>
        <v xml:space="preserve">TEMPO PART  -ON  </v>
      </c>
      <c r="R81" s="51">
        <f t="shared" si="15"/>
        <v>41705</v>
      </c>
      <c r="S81" s="5">
        <f t="shared" si="16"/>
        <v>3.27</v>
      </c>
      <c r="T81" s="5">
        <f t="shared" si="17"/>
        <v>3.26</v>
      </c>
      <c r="U81" s="5">
        <f t="shared" si="18"/>
        <v>3.31</v>
      </c>
      <c r="V81" s="5">
        <f t="shared" si="19"/>
        <v>3.23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729</v>
      </c>
      <c r="D82" s="3" t="s">
        <v>1525</v>
      </c>
      <c r="E82" s="3" t="s">
        <v>1525</v>
      </c>
      <c r="F82" s="3" t="s">
        <v>1845</v>
      </c>
      <c r="G82" s="3" t="s">
        <v>1525</v>
      </c>
      <c r="H82" s="51">
        <v>41705</v>
      </c>
      <c r="J82" s="3">
        <f t="shared" si="20"/>
        <v>15.07</v>
      </c>
      <c r="K82" s="3">
        <f t="shared" si="20"/>
        <v>15.07</v>
      </c>
      <c r="L82" s="3">
        <f t="shared" si="20"/>
        <v>15.09</v>
      </c>
      <c r="M82" s="3">
        <f t="shared" si="20"/>
        <v>15.07</v>
      </c>
      <c r="P82" s="14" t="s">
        <v>728</v>
      </c>
      <c r="Q82" s="10" t="str">
        <f t="shared" si="14"/>
        <v xml:space="preserve">DASA        -ON  </v>
      </c>
      <c r="R82" s="51">
        <f t="shared" si="15"/>
        <v>41705</v>
      </c>
      <c r="S82" s="5">
        <f t="shared" si="16"/>
        <v>15.07</v>
      </c>
      <c r="T82" s="5">
        <f t="shared" si="17"/>
        <v>15.07</v>
      </c>
      <c r="U82" s="5">
        <f t="shared" si="18"/>
        <v>15.09</v>
      </c>
      <c r="V82" s="5">
        <f t="shared" si="19"/>
        <v>15.07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731</v>
      </c>
      <c r="D83" s="3" t="s">
        <v>1846</v>
      </c>
      <c r="E83" s="3" t="s">
        <v>1847</v>
      </c>
      <c r="F83" s="3" t="s">
        <v>1848</v>
      </c>
      <c r="G83" s="3" t="s">
        <v>1849</v>
      </c>
      <c r="H83" s="51">
        <v>41705</v>
      </c>
      <c r="J83" s="3">
        <f t="shared" si="20"/>
        <v>19.690000000000001</v>
      </c>
      <c r="K83" s="3">
        <f t="shared" si="20"/>
        <v>19.61</v>
      </c>
      <c r="L83" s="3">
        <f t="shared" si="20"/>
        <v>19.829999999999998</v>
      </c>
      <c r="M83" s="3">
        <f t="shared" si="20"/>
        <v>19.53</v>
      </c>
      <c r="P83" s="14" t="s">
        <v>730</v>
      </c>
      <c r="Q83" s="10" t="str">
        <f t="shared" si="14"/>
        <v xml:space="preserve">FLEURY      -ON  </v>
      </c>
      <c r="R83" s="46">
        <f t="shared" si="15"/>
        <v>41705</v>
      </c>
      <c r="S83" s="6">
        <f t="shared" si="16"/>
        <v>19.690000000000001</v>
      </c>
      <c r="T83" s="6">
        <f t="shared" si="17"/>
        <v>19.61</v>
      </c>
      <c r="U83" s="6">
        <f t="shared" si="18"/>
        <v>19.829999999999998</v>
      </c>
      <c r="V83" s="6">
        <f t="shared" si="19"/>
        <v>19.53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733</v>
      </c>
      <c r="D84" s="3" t="s">
        <v>1528</v>
      </c>
      <c r="E84" s="3" t="s">
        <v>1495</v>
      </c>
      <c r="F84" s="3" t="s">
        <v>1398</v>
      </c>
      <c r="G84" s="3" t="s">
        <v>1619</v>
      </c>
      <c r="H84" s="51">
        <v>41705</v>
      </c>
      <c r="J84" s="3">
        <f t="shared" si="20"/>
        <v>8.7200000000000006</v>
      </c>
      <c r="K84" s="3">
        <f t="shared" si="20"/>
        <v>8.77</v>
      </c>
      <c r="L84" s="3">
        <f t="shared" si="20"/>
        <v>8.9600000000000009</v>
      </c>
      <c r="M84" s="3">
        <f t="shared" si="20"/>
        <v>8.6999999999999993</v>
      </c>
      <c r="P84" s="43" t="s">
        <v>732</v>
      </c>
      <c r="Q84" s="10" t="str">
        <f t="shared" si="14"/>
        <v xml:space="preserve">ODONTOPREV  -ON  </v>
      </c>
      <c r="R84" s="51">
        <f t="shared" si="15"/>
        <v>41705</v>
      </c>
      <c r="S84" s="5">
        <f t="shared" si="16"/>
        <v>8.7200000000000006</v>
      </c>
      <c r="T84" s="5">
        <f t="shared" si="17"/>
        <v>8.77</v>
      </c>
      <c r="U84" s="5">
        <f t="shared" si="18"/>
        <v>8.9600000000000009</v>
      </c>
      <c r="V84" s="5">
        <f t="shared" si="19"/>
        <v>8.6999999999999993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735</v>
      </c>
      <c r="D85" s="3" t="s">
        <v>1428</v>
      </c>
      <c r="E85" s="3" t="s">
        <v>1850</v>
      </c>
      <c r="F85" s="3" t="s">
        <v>1851</v>
      </c>
      <c r="G85" s="3" t="s">
        <v>1852</v>
      </c>
      <c r="H85" s="51">
        <v>41705</v>
      </c>
      <c r="J85" s="3">
        <f t="shared" si="20"/>
        <v>21.2</v>
      </c>
      <c r="K85" s="3">
        <f t="shared" si="20"/>
        <v>20.91</v>
      </c>
      <c r="L85" s="3">
        <f t="shared" si="20"/>
        <v>21.48</v>
      </c>
      <c r="M85" s="3">
        <f t="shared" si="20"/>
        <v>20.71</v>
      </c>
      <c r="P85" s="15" t="s">
        <v>734</v>
      </c>
      <c r="Q85" s="10" t="str">
        <f t="shared" si="14"/>
        <v xml:space="preserve">QUALICORP   -ON  </v>
      </c>
      <c r="R85" s="51">
        <f t="shared" si="15"/>
        <v>41705</v>
      </c>
      <c r="S85" s="5">
        <f t="shared" si="16"/>
        <v>21.2</v>
      </c>
      <c r="T85" s="5">
        <f t="shared" si="17"/>
        <v>20.91</v>
      </c>
      <c r="U85" s="5">
        <f t="shared" si="18"/>
        <v>21.48</v>
      </c>
      <c r="V85" s="5">
        <f t="shared" si="19"/>
        <v>20.71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737</v>
      </c>
      <c r="D86" s="3" t="s">
        <v>333</v>
      </c>
      <c r="E86" s="3" t="s">
        <v>767</v>
      </c>
      <c r="F86" s="3" t="s">
        <v>767</v>
      </c>
      <c r="G86" s="3" t="s">
        <v>333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736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739</v>
      </c>
      <c r="D87" s="3" t="s">
        <v>1853</v>
      </c>
      <c r="E87" s="3" t="s">
        <v>1854</v>
      </c>
      <c r="F87" s="3" t="s">
        <v>1853</v>
      </c>
      <c r="G87" s="3" t="s">
        <v>1533</v>
      </c>
      <c r="H87" s="51">
        <v>41705</v>
      </c>
      <c r="J87" s="3">
        <f t="shared" si="20"/>
        <v>14.73</v>
      </c>
      <c r="K87" s="3">
        <f t="shared" si="20"/>
        <v>14.23</v>
      </c>
      <c r="L87" s="3">
        <f t="shared" si="20"/>
        <v>14.73</v>
      </c>
      <c r="M87" s="3">
        <f t="shared" si="20"/>
        <v>14.22</v>
      </c>
      <c r="P87" s="15" t="s">
        <v>738</v>
      </c>
      <c r="Q87" s="10" t="str">
        <f t="shared" si="14"/>
        <v xml:space="preserve">CREMER      -ON  </v>
      </c>
      <c r="R87" s="51">
        <f t="shared" si="15"/>
        <v>41705</v>
      </c>
      <c r="S87" s="5">
        <f t="shared" si="16"/>
        <v>14.73</v>
      </c>
      <c r="T87" s="5">
        <f t="shared" si="17"/>
        <v>14.23</v>
      </c>
      <c r="U87" s="5">
        <f t="shared" si="18"/>
        <v>14.73</v>
      </c>
      <c r="V87" s="5">
        <f t="shared" si="19"/>
        <v>14.22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773</v>
      </c>
      <c r="D88" s="3" t="s">
        <v>1855</v>
      </c>
      <c r="E88" s="3" t="s">
        <v>1856</v>
      </c>
      <c r="F88" s="3" t="s">
        <v>1857</v>
      </c>
      <c r="G88" s="3" t="s">
        <v>1858</v>
      </c>
      <c r="H88" s="51">
        <v>41705</v>
      </c>
      <c r="J88" s="3">
        <f t="shared" si="20"/>
        <v>35.69</v>
      </c>
      <c r="K88" s="3">
        <f t="shared" si="20"/>
        <v>35.840000000000003</v>
      </c>
      <c r="L88" s="3">
        <f t="shared" si="20"/>
        <v>36.130000000000003</v>
      </c>
      <c r="M88" s="3">
        <f t="shared" si="20"/>
        <v>35.44</v>
      </c>
      <c r="P88" s="15" t="s">
        <v>771</v>
      </c>
      <c r="Q88" s="10" t="str">
        <f t="shared" si="14"/>
        <v xml:space="preserve">NATURA      -ON  </v>
      </c>
      <c r="R88" s="51">
        <f t="shared" si="15"/>
        <v>41705</v>
      </c>
      <c r="S88" s="5">
        <f t="shared" si="16"/>
        <v>35.69</v>
      </c>
      <c r="T88" s="5">
        <f t="shared" si="17"/>
        <v>35.840000000000003</v>
      </c>
      <c r="U88" s="5">
        <f t="shared" si="18"/>
        <v>36.130000000000003</v>
      </c>
      <c r="V88" s="5">
        <f t="shared" si="19"/>
        <v>35.44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777</v>
      </c>
      <c r="D89" s="3" t="s">
        <v>426</v>
      </c>
      <c r="E89" s="3" t="s">
        <v>427</v>
      </c>
      <c r="F89" s="3" t="s">
        <v>426</v>
      </c>
      <c r="G89" s="3" t="s">
        <v>426</v>
      </c>
      <c r="H89" s="51" t="s">
        <v>426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775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778</v>
      </c>
      <c r="D90" s="3" t="s">
        <v>1429</v>
      </c>
      <c r="E90" s="3" t="s">
        <v>1429</v>
      </c>
      <c r="F90" s="3" t="s">
        <v>1429</v>
      </c>
      <c r="G90" s="3" t="s">
        <v>1429</v>
      </c>
      <c r="H90" s="51">
        <v>41705</v>
      </c>
      <c r="J90" s="3">
        <f t="shared" si="20"/>
        <v>6.26</v>
      </c>
      <c r="K90" s="3">
        <f t="shared" si="20"/>
        <v>6.26</v>
      </c>
      <c r="L90" s="3">
        <f t="shared" si="20"/>
        <v>6.26</v>
      </c>
      <c r="M90" s="3">
        <f t="shared" si="20"/>
        <v>6.26</v>
      </c>
      <c r="P90" s="10" t="s">
        <v>776</v>
      </c>
      <c r="Q90" s="10" t="str">
        <f t="shared" si="14"/>
        <v>BOMBRIL     -PN</v>
      </c>
      <c r="R90" s="51">
        <f t="shared" si="15"/>
        <v>41705</v>
      </c>
      <c r="S90" s="5">
        <f t="shared" si="16"/>
        <v>6.26</v>
      </c>
      <c r="T90" s="5">
        <f t="shared" si="17"/>
        <v>6.26</v>
      </c>
      <c r="U90" s="5">
        <f t="shared" si="18"/>
        <v>6.26</v>
      </c>
      <c r="V90" s="5">
        <f t="shared" si="19"/>
        <v>6.26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781</v>
      </c>
      <c r="D91" s="3" t="s">
        <v>1529</v>
      </c>
      <c r="E91" s="3" t="s">
        <v>1478</v>
      </c>
      <c r="F91" s="3" t="s">
        <v>1859</v>
      </c>
      <c r="G91" s="3" t="s">
        <v>1860</v>
      </c>
      <c r="H91" s="51">
        <v>41705</v>
      </c>
      <c r="J91" s="3">
        <f t="shared" si="20"/>
        <v>20.61</v>
      </c>
      <c r="K91" s="3">
        <f t="shared" si="20"/>
        <v>20.6</v>
      </c>
      <c r="L91" s="3">
        <f t="shared" si="20"/>
        <v>20.85</v>
      </c>
      <c r="M91" s="3">
        <f t="shared" si="20"/>
        <v>20.399999999999999</v>
      </c>
      <c r="P91" s="10" t="s">
        <v>779</v>
      </c>
      <c r="Q91" s="10" t="str">
        <f t="shared" si="14"/>
        <v>SOUZA CRUZ  -ON</v>
      </c>
      <c r="R91" s="51">
        <f t="shared" si="15"/>
        <v>41705</v>
      </c>
      <c r="S91" s="5">
        <f t="shared" si="16"/>
        <v>20.61</v>
      </c>
      <c r="T91" s="5">
        <f t="shared" si="17"/>
        <v>20.6</v>
      </c>
      <c r="U91" s="5">
        <f t="shared" si="18"/>
        <v>20.85</v>
      </c>
      <c r="V91" s="5">
        <f t="shared" si="19"/>
        <v>20.399999999999999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785</v>
      </c>
      <c r="D92" s="3" t="s">
        <v>1861</v>
      </c>
      <c r="E92" s="3" t="s">
        <v>1504</v>
      </c>
      <c r="F92" s="3" t="s">
        <v>1862</v>
      </c>
      <c r="G92" s="3" t="s">
        <v>1492</v>
      </c>
      <c r="H92" s="51">
        <v>41705</v>
      </c>
      <c r="J92" s="3">
        <f t="shared" si="20"/>
        <v>12.4</v>
      </c>
      <c r="K92" s="3">
        <f t="shared" si="20"/>
        <v>12.25</v>
      </c>
      <c r="L92" s="3">
        <f t="shared" si="20"/>
        <v>12.45</v>
      </c>
      <c r="M92" s="3">
        <f t="shared" si="20"/>
        <v>12.15</v>
      </c>
      <c r="P92" s="16" t="s">
        <v>783</v>
      </c>
      <c r="Q92" s="10" t="str">
        <f t="shared" si="14"/>
        <v>LOJAS AMERIC-ON</v>
      </c>
      <c r="R92" s="51">
        <f t="shared" si="15"/>
        <v>41705</v>
      </c>
      <c r="S92" s="5">
        <f t="shared" si="16"/>
        <v>12.4</v>
      </c>
      <c r="T92" s="5">
        <f t="shared" si="17"/>
        <v>12.25</v>
      </c>
      <c r="U92" s="5">
        <f t="shared" si="18"/>
        <v>12.45</v>
      </c>
      <c r="V92" s="5">
        <f t="shared" si="19"/>
        <v>12.15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786</v>
      </c>
      <c r="D93" s="3" t="s">
        <v>1863</v>
      </c>
      <c r="E93" s="3" t="s">
        <v>1533</v>
      </c>
      <c r="F93" s="3" t="s">
        <v>1864</v>
      </c>
      <c r="G93" s="3" t="s">
        <v>1865</v>
      </c>
      <c r="H93" s="51">
        <v>41705</v>
      </c>
      <c r="J93" s="3">
        <f t="shared" si="20"/>
        <v>14.53</v>
      </c>
      <c r="K93" s="3">
        <f t="shared" si="20"/>
        <v>14.22</v>
      </c>
      <c r="L93" s="3">
        <f t="shared" si="20"/>
        <v>14.64</v>
      </c>
      <c r="M93" s="3">
        <f t="shared" si="20"/>
        <v>14.19</v>
      </c>
      <c r="P93" s="16" t="s">
        <v>784</v>
      </c>
      <c r="Q93" s="10" t="str">
        <f t="shared" si="14"/>
        <v>LOJAS AMERIC-PN</v>
      </c>
      <c r="R93" s="51">
        <f t="shared" si="15"/>
        <v>41705</v>
      </c>
      <c r="S93" s="5">
        <f t="shared" si="16"/>
        <v>14.53</v>
      </c>
      <c r="T93" s="5">
        <f t="shared" si="17"/>
        <v>14.22</v>
      </c>
      <c r="U93" s="5">
        <f t="shared" si="18"/>
        <v>14.64</v>
      </c>
      <c r="V93" s="5">
        <f t="shared" si="19"/>
        <v>14.19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788</v>
      </c>
      <c r="D94" s="3" t="s">
        <v>1866</v>
      </c>
      <c r="E94" s="3" t="s">
        <v>1867</v>
      </c>
      <c r="F94" s="3" t="s">
        <v>1868</v>
      </c>
      <c r="G94" s="3" t="s">
        <v>1869</v>
      </c>
      <c r="H94" s="51">
        <v>41705</v>
      </c>
      <c r="J94" s="3">
        <f t="shared" si="20"/>
        <v>22.98</v>
      </c>
      <c r="K94" s="3">
        <f t="shared" si="20"/>
        <v>23.58</v>
      </c>
      <c r="L94" s="3">
        <f t="shared" si="20"/>
        <v>23.64</v>
      </c>
      <c r="M94" s="3">
        <f t="shared" si="20"/>
        <v>22.68</v>
      </c>
      <c r="P94" s="14" t="s">
        <v>787</v>
      </c>
      <c r="Q94" s="10" t="str">
        <f t="shared" si="14"/>
        <v xml:space="preserve">B2W DIGITAL -ON  </v>
      </c>
      <c r="R94" s="51">
        <f t="shared" si="15"/>
        <v>41705</v>
      </c>
      <c r="S94" s="5">
        <f t="shared" si="16"/>
        <v>22.98</v>
      </c>
      <c r="T94" s="5">
        <f t="shared" si="17"/>
        <v>23.58</v>
      </c>
      <c r="U94" s="5">
        <f t="shared" si="18"/>
        <v>23.64</v>
      </c>
      <c r="V94" s="5">
        <f t="shared" si="19"/>
        <v>22.68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790</v>
      </c>
      <c r="D95" s="3" t="s">
        <v>1870</v>
      </c>
      <c r="E95" s="3" t="s">
        <v>1871</v>
      </c>
      <c r="F95" s="3" t="s">
        <v>1872</v>
      </c>
      <c r="G95" s="3" t="s">
        <v>1873</v>
      </c>
      <c r="H95" s="51">
        <v>41705</v>
      </c>
      <c r="J95" s="3">
        <f t="shared" si="20"/>
        <v>14.6</v>
      </c>
      <c r="K95" s="3">
        <f t="shared" si="20"/>
        <v>14.88</v>
      </c>
      <c r="L95" s="3">
        <f t="shared" si="20"/>
        <v>15.12</v>
      </c>
      <c r="M95" s="3">
        <f t="shared" si="20"/>
        <v>14.41</v>
      </c>
      <c r="P95" s="14" t="s">
        <v>789</v>
      </c>
      <c r="Q95" s="10" t="str">
        <f t="shared" si="14"/>
        <v xml:space="preserve">HYPERMARCAS -ON  </v>
      </c>
      <c r="R95" s="51">
        <f t="shared" si="15"/>
        <v>41705</v>
      </c>
      <c r="S95" s="5">
        <f t="shared" si="16"/>
        <v>14.6</v>
      </c>
      <c r="T95" s="5">
        <f t="shared" si="17"/>
        <v>14.88</v>
      </c>
      <c r="U95" s="5">
        <f t="shared" si="18"/>
        <v>15.12</v>
      </c>
      <c r="V95" s="5">
        <f t="shared" si="19"/>
        <v>14.41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793</v>
      </c>
      <c r="D96" s="3" t="s">
        <v>1874</v>
      </c>
      <c r="E96" s="3" t="s">
        <v>1875</v>
      </c>
      <c r="F96" s="3" t="s">
        <v>1876</v>
      </c>
      <c r="G96" s="3" t="s">
        <v>1877</v>
      </c>
      <c r="H96" s="51">
        <v>41705</v>
      </c>
      <c r="J96" s="3">
        <f t="shared" si="20"/>
        <v>16.39</v>
      </c>
      <c r="K96" s="3">
        <f t="shared" si="20"/>
        <v>16.55</v>
      </c>
      <c r="L96" s="3">
        <f t="shared" si="20"/>
        <v>16.61</v>
      </c>
      <c r="M96" s="3">
        <f t="shared" si="20"/>
        <v>16.350000000000001</v>
      </c>
      <c r="P96" s="14" t="s">
        <v>791</v>
      </c>
      <c r="Q96" s="10" t="str">
        <f t="shared" si="14"/>
        <v xml:space="preserve">RAIADROGASIL-ON  </v>
      </c>
      <c r="R96" s="51">
        <f t="shared" si="15"/>
        <v>41705</v>
      </c>
      <c r="S96" s="5">
        <f t="shared" si="16"/>
        <v>16.39</v>
      </c>
      <c r="T96" s="5">
        <f t="shared" si="17"/>
        <v>16.55</v>
      </c>
      <c r="U96" s="5">
        <f t="shared" si="18"/>
        <v>16.61</v>
      </c>
      <c r="V96" s="5">
        <f t="shared" si="19"/>
        <v>16.350000000000001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795</v>
      </c>
      <c r="D97" s="3" t="s">
        <v>1878</v>
      </c>
      <c r="E97" s="3" t="s">
        <v>1610</v>
      </c>
      <c r="F97" s="3" t="s">
        <v>1446</v>
      </c>
      <c r="G97" s="3" t="s">
        <v>1610</v>
      </c>
      <c r="H97" s="51">
        <v>41705</v>
      </c>
      <c r="J97" s="3">
        <f t="shared" si="20"/>
        <v>4.8600000000000003</v>
      </c>
      <c r="K97" s="3">
        <f t="shared" si="20"/>
        <v>4.6900000000000004</v>
      </c>
      <c r="L97" s="3">
        <f t="shared" si="20"/>
        <v>4.97</v>
      </c>
      <c r="M97" s="3">
        <f t="shared" si="20"/>
        <v>4.6900000000000004</v>
      </c>
      <c r="P97" s="15" t="s">
        <v>794</v>
      </c>
      <c r="Q97" s="10" t="str">
        <f t="shared" si="14"/>
        <v xml:space="preserve">BR PHARMA   -ON  </v>
      </c>
      <c r="R97" s="51">
        <f t="shared" si="15"/>
        <v>41705</v>
      </c>
      <c r="S97" s="5">
        <f t="shared" si="16"/>
        <v>4.8600000000000003</v>
      </c>
      <c r="T97" s="5">
        <f t="shared" si="17"/>
        <v>4.6900000000000004</v>
      </c>
      <c r="U97" s="5">
        <f t="shared" si="18"/>
        <v>4.97</v>
      </c>
      <c r="V97" s="5">
        <f t="shared" si="19"/>
        <v>4.6900000000000004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798</v>
      </c>
      <c r="D98" s="3" t="s">
        <v>1879</v>
      </c>
      <c r="E98" s="3" t="s">
        <v>1880</v>
      </c>
      <c r="F98" s="3" t="s">
        <v>1880</v>
      </c>
      <c r="G98" s="3" t="s">
        <v>1879</v>
      </c>
      <c r="H98" s="51">
        <v>41705</v>
      </c>
      <c r="J98" s="3">
        <f t="shared" si="20"/>
        <v>174.01</v>
      </c>
      <c r="K98" s="3">
        <f t="shared" si="20"/>
        <v>179.59</v>
      </c>
      <c r="L98" s="3">
        <f t="shared" si="20"/>
        <v>179.59</v>
      </c>
      <c r="M98" s="3">
        <f t="shared" si="20"/>
        <v>174.01</v>
      </c>
      <c r="P98" s="10" t="s">
        <v>796</v>
      </c>
      <c r="Q98" s="10" t="str">
        <f t="shared" si="14"/>
        <v>DIMED       -ON</v>
      </c>
      <c r="R98" s="51">
        <f t="shared" si="15"/>
        <v>41705</v>
      </c>
      <c r="S98" s="5">
        <f t="shared" si="16"/>
        <v>174.01</v>
      </c>
      <c r="T98" s="5">
        <f t="shared" si="17"/>
        <v>179.59</v>
      </c>
      <c r="U98" s="5">
        <f t="shared" si="18"/>
        <v>179.59</v>
      </c>
      <c r="V98" s="5">
        <f t="shared" si="19"/>
        <v>174.01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799</v>
      </c>
      <c r="D99" s="3" t="s">
        <v>1375</v>
      </c>
      <c r="E99" s="3" t="s">
        <v>1375</v>
      </c>
      <c r="F99" s="3" t="s">
        <v>1375</v>
      </c>
      <c r="G99" s="3" t="s">
        <v>1375</v>
      </c>
      <c r="H99" s="51">
        <v>41705</v>
      </c>
      <c r="J99" s="3">
        <f t="shared" si="20"/>
        <v>165</v>
      </c>
      <c r="K99" s="3">
        <f t="shared" si="20"/>
        <v>165</v>
      </c>
      <c r="L99" s="3">
        <f t="shared" si="20"/>
        <v>165</v>
      </c>
      <c r="M99" s="3">
        <f t="shared" si="20"/>
        <v>165</v>
      </c>
      <c r="P99" s="14" t="s">
        <v>797</v>
      </c>
      <c r="Q99" s="10" t="str">
        <f t="shared" si="14"/>
        <v>DIMED       -PN</v>
      </c>
      <c r="R99" s="51">
        <f t="shared" si="15"/>
        <v>41705</v>
      </c>
      <c r="S99" s="5">
        <f t="shared" si="16"/>
        <v>165</v>
      </c>
      <c r="T99" s="5">
        <f t="shared" si="17"/>
        <v>165</v>
      </c>
      <c r="U99" s="5">
        <f t="shared" si="18"/>
        <v>165</v>
      </c>
      <c r="V99" s="5">
        <f t="shared" si="19"/>
        <v>165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801</v>
      </c>
      <c r="D100" s="3" t="s">
        <v>1426</v>
      </c>
      <c r="E100" s="3" t="s">
        <v>1881</v>
      </c>
      <c r="F100" s="3" t="s">
        <v>1534</v>
      </c>
      <c r="G100" s="3" t="s">
        <v>1882</v>
      </c>
      <c r="H100" s="51">
        <v>41705</v>
      </c>
      <c r="J100" s="3">
        <f t="shared" si="20"/>
        <v>17.89</v>
      </c>
      <c r="K100" s="3">
        <f t="shared" si="20"/>
        <v>17.78</v>
      </c>
      <c r="L100" s="3">
        <f t="shared" si="20"/>
        <v>17.91</v>
      </c>
      <c r="M100" s="3">
        <f t="shared" si="20"/>
        <v>17.649999999999999</v>
      </c>
      <c r="P100" s="14" t="s">
        <v>800</v>
      </c>
      <c r="Q100" s="10" t="str">
        <f t="shared" si="14"/>
        <v xml:space="preserve">PROFARMA    -ON  </v>
      </c>
      <c r="R100" s="51">
        <f t="shared" si="15"/>
        <v>41705</v>
      </c>
      <c r="S100" s="5">
        <f t="shared" si="16"/>
        <v>17.89</v>
      </c>
      <c r="T100" s="5">
        <f t="shared" si="17"/>
        <v>17.78</v>
      </c>
      <c r="U100" s="5">
        <f t="shared" si="18"/>
        <v>17.91</v>
      </c>
      <c r="V100" s="5">
        <f t="shared" si="19"/>
        <v>17.649999999999999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805</v>
      </c>
      <c r="D101" s="3" t="s">
        <v>426</v>
      </c>
      <c r="E101" s="3" t="s">
        <v>806</v>
      </c>
      <c r="F101" s="3" t="s">
        <v>806</v>
      </c>
      <c r="G101" s="3" t="s">
        <v>806</v>
      </c>
      <c r="H101" s="51">
        <v>41705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803</v>
      </c>
      <c r="Q101" s="10" t="str">
        <f t="shared" si="14"/>
        <v xml:space="preserve">P.ACUCAR-CBD-ON  </v>
      </c>
      <c r="R101" s="51">
        <f t="shared" si="15"/>
        <v>41705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807</v>
      </c>
      <c r="D102" s="3" t="s">
        <v>1883</v>
      </c>
      <c r="E102" s="3" t="s">
        <v>1884</v>
      </c>
      <c r="F102" s="3" t="s">
        <v>1885</v>
      </c>
      <c r="G102" s="3" t="s">
        <v>1886</v>
      </c>
      <c r="H102" s="51">
        <v>41705</v>
      </c>
      <c r="J102" s="3">
        <f t="shared" si="20"/>
        <v>97.8</v>
      </c>
      <c r="K102" s="3">
        <f t="shared" si="20"/>
        <v>98.12</v>
      </c>
      <c r="L102" s="3">
        <f t="shared" si="20"/>
        <v>99.3</v>
      </c>
      <c r="M102" s="3">
        <f t="shared" si="20"/>
        <v>96.67</v>
      </c>
      <c r="P102" s="10" t="s">
        <v>804</v>
      </c>
      <c r="Q102" s="10" t="str">
        <f t="shared" si="14"/>
        <v xml:space="preserve">P.ACUCAR-CBD-PN  </v>
      </c>
      <c r="R102" s="51">
        <f t="shared" si="15"/>
        <v>41705</v>
      </c>
      <c r="S102" s="5">
        <f t="shared" si="16"/>
        <v>97.8</v>
      </c>
      <c r="T102" s="5">
        <f t="shared" si="17"/>
        <v>98.12</v>
      </c>
      <c r="U102" s="5">
        <f t="shared" si="18"/>
        <v>99.3</v>
      </c>
      <c r="V102" s="5">
        <f t="shared" si="19"/>
        <v>96.67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810</v>
      </c>
      <c r="D103" s="3" t="s">
        <v>1647</v>
      </c>
      <c r="E103" s="3" t="s">
        <v>1887</v>
      </c>
      <c r="F103" s="3" t="s">
        <v>1356</v>
      </c>
      <c r="G103" s="3" t="s">
        <v>1888</v>
      </c>
      <c r="H103" s="51">
        <v>41705</v>
      </c>
      <c r="J103" s="3">
        <f t="shared" si="20"/>
        <v>16.89</v>
      </c>
      <c r="K103" s="3">
        <f t="shared" si="20"/>
        <v>16.78</v>
      </c>
      <c r="L103" s="3">
        <f t="shared" si="20"/>
        <v>16.98</v>
      </c>
      <c r="M103" s="3">
        <f t="shared" si="20"/>
        <v>16.68</v>
      </c>
      <c r="P103" s="15" t="s">
        <v>809</v>
      </c>
      <c r="Q103" s="10" t="str">
        <f t="shared" ref="Q103:Q112" si="21">IF(A103="","",C103)</f>
        <v>AMBEV S/A   -ON</v>
      </c>
      <c r="R103" s="51">
        <f t="shared" ref="R103:R112" si="22">IF(A103="","",H103)</f>
        <v>41705</v>
      </c>
      <c r="S103" s="5">
        <f t="shared" ref="S103:S112" si="23">J103</f>
        <v>16.89</v>
      </c>
      <c r="T103" s="5">
        <f t="shared" ref="T103:T112" si="24">K103</f>
        <v>16.78</v>
      </c>
      <c r="U103" s="5">
        <f t="shared" ref="U103:U112" si="25">L103</f>
        <v>16.98</v>
      </c>
      <c r="V103" s="5">
        <f t="shared" ref="V103:V112" si="26">M103</f>
        <v>16.68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275</v>
      </c>
      <c r="D104" s="3" t="s">
        <v>426</v>
      </c>
      <c r="E104" s="3" t="s">
        <v>897</v>
      </c>
      <c r="F104" s="3" t="s">
        <v>897</v>
      </c>
      <c r="G104" s="3" t="s">
        <v>897</v>
      </c>
      <c r="H104" s="51">
        <v>41705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274</v>
      </c>
      <c r="Q104" s="10" t="str">
        <f t="shared" si="21"/>
        <v xml:space="preserve">VIGOR FOOD  -ON  </v>
      </c>
      <c r="R104" s="51">
        <f t="shared" si="22"/>
        <v>41705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813</v>
      </c>
      <c r="D105" s="3" t="s">
        <v>426</v>
      </c>
      <c r="E105" s="3" t="s">
        <v>427</v>
      </c>
      <c r="F105" s="3" t="s">
        <v>426</v>
      </c>
      <c r="G105" s="3" t="s">
        <v>426</v>
      </c>
      <c r="H105" s="51" t="s">
        <v>426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811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814</v>
      </c>
      <c r="D106" s="3" t="s">
        <v>426</v>
      </c>
      <c r="E106" s="3" t="s">
        <v>664</v>
      </c>
      <c r="F106" s="3" t="s">
        <v>664</v>
      </c>
      <c r="G106" s="3" t="s">
        <v>664</v>
      </c>
      <c r="H106" s="51">
        <v>41705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812</v>
      </c>
      <c r="Q106" s="10" t="str">
        <f t="shared" si="21"/>
        <v>CLARION     -PN</v>
      </c>
      <c r="R106" s="51">
        <f t="shared" si="22"/>
        <v>41705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817</v>
      </c>
      <c r="D107" s="3" t="s">
        <v>772</v>
      </c>
      <c r="E107" s="3" t="s">
        <v>772</v>
      </c>
      <c r="F107" s="3" t="s">
        <v>659</v>
      </c>
      <c r="G107" s="3" t="s">
        <v>772</v>
      </c>
      <c r="H107" s="51">
        <v>41705</v>
      </c>
      <c r="J107" s="3">
        <f t="shared" si="20"/>
        <v>7.0000000000000007E-2</v>
      </c>
      <c r="K107" s="3">
        <f t="shared" si="20"/>
        <v>7.0000000000000007E-2</v>
      </c>
      <c r="L107" s="3">
        <f t="shared" si="20"/>
        <v>0.08</v>
      </c>
      <c r="M107" s="3">
        <f t="shared" si="20"/>
        <v>7.0000000000000007E-2</v>
      </c>
      <c r="P107" s="14" t="s">
        <v>816</v>
      </c>
      <c r="Q107" s="10" t="str">
        <f t="shared" si="21"/>
        <v>MINUPAR     -ON</v>
      </c>
      <c r="R107" s="51">
        <f t="shared" si="22"/>
        <v>41705</v>
      </c>
      <c r="S107" s="5">
        <f t="shared" si="23"/>
        <v>7.0000000000000007E-2</v>
      </c>
      <c r="T107" s="5">
        <f t="shared" si="24"/>
        <v>7.0000000000000007E-2</v>
      </c>
      <c r="U107" s="5">
        <f t="shared" si="25"/>
        <v>0.08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820</v>
      </c>
      <c r="D108" s="3" t="s">
        <v>426</v>
      </c>
      <c r="E108" s="3" t="s">
        <v>427</v>
      </c>
      <c r="F108" s="3" t="s">
        <v>426</v>
      </c>
      <c r="G108" s="3" t="s">
        <v>426</v>
      </c>
      <c r="H108" s="51" t="s">
        <v>426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818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821</v>
      </c>
      <c r="D109" s="3" t="s">
        <v>895</v>
      </c>
      <c r="E109" s="3" t="s">
        <v>895</v>
      </c>
      <c r="F109" s="3" t="s">
        <v>895</v>
      </c>
      <c r="G109" s="3" t="s">
        <v>895</v>
      </c>
      <c r="H109" s="51">
        <v>41705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819</v>
      </c>
      <c r="Q109" s="10" t="str">
        <f t="shared" si="21"/>
        <v>EXCELSIOR   -PN</v>
      </c>
      <c r="R109" s="51">
        <f t="shared" si="22"/>
        <v>41705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824</v>
      </c>
      <c r="D110" s="3" t="s">
        <v>1517</v>
      </c>
      <c r="E110" s="3" t="s">
        <v>1507</v>
      </c>
      <c r="F110" s="3" t="s">
        <v>1424</v>
      </c>
      <c r="G110" s="3" t="s">
        <v>1889</v>
      </c>
      <c r="H110" s="51">
        <v>41705</v>
      </c>
      <c r="J110" s="3">
        <f t="shared" si="20"/>
        <v>9.7899999999999991</v>
      </c>
      <c r="K110" s="3">
        <f t="shared" si="20"/>
        <v>9.8000000000000007</v>
      </c>
      <c r="L110" s="3">
        <f t="shared" si="20"/>
        <v>10.199999999999999</v>
      </c>
      <c r="M110" s="3">
        <f t="shared" si="20"/>
        <v>9.76</v>
      </c>
      <c r="P110" s="15" t="s">
        <v>823</v>
      </c>
      <c r="Q110" s="10" t="str">
        <f t="shared" si="21"/>
        <v xml:space="preserve">MINERVA     -ON  </v>
      </c>
      <c r="R110" s="51">
        <f t="shared" si="22"/>
        <v>41705</v>
      </c>
      <c r="S110" s="5">
        <f t="shared" si="23"/>
        <v>9.7899999999999991</v>
      </c>
      <c r="T110" s="5">
        <f t="shared" si="24"/>
        <v>9.8000000000000007</v>
      </c>
      <c r="U110" s="5">
        <f t="shared" si="25"/>
        <v>10.199999999999999</v>
      </c>
      <c r="V110" s="5">
        <f t="shared" si="26"/>
        <v>9.76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825</v>
      </c>
      <c r="D111" s="3" t="s">
        <v>1890</v>
      </c>
      <c r="E111" s="3" t="s">
        <v>1415</v>
      </c>
      <c r="F111" s="3" t="s">
        <v>1891</v>
      </c>
      <c r="G111" s="3" t="s">
        <v>1892</v>
      </c>
      <c r="H111" s="51">
        <v>41705</v>
      </c>
      <c r="J111" s="3">
        <f t="shared" si="20"/>
        <v>3.98</v>
      </c>
      <c r="K111" s="3">
        <f t="shared" si="20"/>
        <v>3.99</v>
      </c>
      <c r="L111" s="3">
        <f t="shared" si="20"/>
        <v>4.08</v>
      </c>
      <c r="M111" s="3">
        <f t="shared" si="20"/>
        <v>3.92</v>
      </c>
      <c r="P111" s="14" t="s">
        <v>822</v>
      </c>
      <c r="Q111" s="10" t="str">
        <f t="shared" si="21"/>
        <v xml:space="preserve">MARFRIG     -ON  </v>
      </c>
      <c r="R111" s="51">
        <f t="shared" si="22"/>
        <v>41705</v>
      </c>
      <c r="S111" s="5">
        <f t="shared" si="23"/>
        <v>3.98</v>
      </c>
      <c r="T111" s="5">
        <f t="shared" si="24"/>
        <v>3.99</v>
      </c>
      <c r="U111" s="5">
        <f t="shared" si="25"/>
        <v>4.08</v>
      </c>
      <c r="V111" s="5">
        <f t="shared" si="26"/>
        <v>3.92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828</v>
      </c>
      <c r="D112" s="3" t="s">
        <v>426</v>
      </c>
      <c r="E112" s="3" t="s">
        <v>661</v>
      </c>
      <c r="F112" s="3" t="s">
        <v>661</v>
      </c>
      <c r="G112" s="3" t="s">
        <v>661</v>
      </c>
      <c r="H112" s="51">
        <v>41705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826</v>
      </c>
      <c r="Q112" s="10" t="str">
        <f t="shared" si="21"/>
        <v>CAF BRASILIA-ON *</v>
      </c>
      <c r="R112" s="51">
        <f t="shared" si="22"/>
        <v>41705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827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1225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1017</v>
      </c>
      <c r="D7" s="3" t="s">
        <v>1893</v>
      </c>
      <c r="E7" s="3" t="s">
        <v>1894</v>
      </c>
      <c r="F7" s="3" t="s">
        <v>1895</v>
      </c>
      <c r="G7" s="3" t="s">
        <v>1896</v>
      </c>
      <c r="H7" s="51">
        <v>41705</v>
      </c>
      <c r="J7" s="3">
        <f>IF($A7="",0,VALUE(CONCATENATE(LEFT(D7,LEN(D7)-3),",",RIGHT(D7,2))))</f>
        <v>29.39</v>
      </c>
      <c r="K7" s="3">
        <f t="shared" ref="K7:M22" si="0">IF($A7="",0,VALUE(CONCATENATE(LEFT(E7,LEN(E7)-3),",",RIGHT(E7,2))))</f>
        <v>28.76</v>
      </c>
      <c r="L7" s="3">
        <f t="shared" si="0"/>
        <v>29.5</v>
      </c>
      <c r="M7" s="3">
        <f t="shared" si="0"/>
        <v>28.42</v>
      </c>
      <c r="P7" s="14" t="s">
        <v>1012</v>
      </c>
      <c r="Q7" s="10" t="str">
        <f t="shared" ref="Q7:Q38" si="1">IF(A7="","",C7)</f>
        <v xml:space="preserve">ABRIL EDUCA -UNT </v>
      </c>
      <c r="R7" s="51">
        <f t="shared" ref="R7:R38" si="2">IF(A7="","",H7)</f>
        <v>41705</v>
      </c>
      <c r="S7" s="5">
        <f t="shared" ref="S7:S38" si="3">J7</f>
        <v>29.39</v>
      </c>
      <c r="T7" s="5">
        <f t="shared" ref="T7:T38" si="4">K7</f>
        <v>28.76</v>
      </c>
      <c r="U7" s="5">
        <f t="shared" ref="U7:U38" si="5">L7</f>
        <v>29.5</v>
      </c>
      <c r="V7" s="5">
        <f t="shared" ref="V7:V38" si="6">M7</f>
        <v>28.42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1015</v>
      </c>
      <c r="D8" s="3" t="s">
        <v>426</v>
      </c>
      <c r="E8" s="3" t="s">
        <v>427</v>
      </c>
      <c r="F8" s="3" t="s">
        <v>426</v>
      </c>
      <c r="G8" s="3" t="s">
        <v>426</v>
      </c>
      <c r="H8" s="51" t="s">
        <v>426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1013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1016</v>
      </c>
      <c r="D9" s="3" t="s">
        <v>426</v>
      </c>
      <c r="E9" s="3" t="s">
        <v>427</v>
      </c>
      <c r="F9" s="3" t="s">
        <v>426</v>
      </c>
      <c r="G9" s="3" t="s">
        <v>426</v>
      </c>
      <c r="H9" s="51" t="s">
        <v>426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1014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854</v>
      </c>
      <c r="D10" s="3" t="s">
        <v>426</v>
      </c>
      <c r="E10" s="3" t="s">
        <v>390</v>
      </c>
      <c r="F10" s="3" t="s">
        <v>390</v>
      </c>
      <c r="G10" s="3" t="s">
        <v>390</v>
      </c>
      <c r="H10" s="51">
        <v>41705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851</v>
      </c>
      <c r="Q10" s="10" t="str">
        <f t="shared" si="1"/>
        <v>SPTURIS     -ON</v>
      </c>
      <c r="R10" s="51">
        <f t="shared" si="2"/>
        <v>41705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855</v>
      </c>
      <c r="D11" s="3" t="s">
        <v>426</v>
      </c>
      <c r="E11" s="3" t="s">
        <v>856</v>
      </c>
      <c r="F11" s="3" t="s">
        <v>856</v>
      </c>
      <c r="G11" s="3" t="s">
        <v>856</v>
      </c>
      <c r="H11" s="51">
        <v>41705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852</v>
      </c>
      <c r="Q11" s="10" t="str">
        <f t="shared" si="1"/>
        <v>SPTURIS     -PNA</v>
      </c>
      <c r="R11" s="51">
        <f t="shared" si="2"/>
        <v>41705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857</v>
      </c>
      <c r="D12" s="3" t="s">
        <v>426</v>
      </c>
      <c r="E12" s="3" t="s">
        <v>858</v>
      </c>
      <c r="F12" s="3" t="s">
        <v>858</v>
      </c>
      <c r="G12" s="3" t="s">
        <v>858</v>
      </c>
      <c r="H12" s="51">
        <v>41705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853</v>
      </c>
      <c r="Q12" s="10" t="str">
        <f t="shared" si="1"/>
        <v>SPTURIS     -PNB</v>
      </c>
      <c r="R12" s="51">
        <f t="shared" si="2"/>
        <v>41705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992</v>
      </c>
      <c r="D13" s="3" t="s">
        <v>1897</v>
      </c>
      <c r="E13" s="3" t="s">
        <v>1897</v>
      </c>
      <c r="F13" s="3" t="s">
        <v>1897</v>
      </c>
      <c r="G13" s="3" t="s">
        <v>1897</v>
      </c>
      <c r="H13" s="51">
        <v>41705</v>
      </c>
      <c r="J13" s="3">
        <f t="shared" si="7"/>
        <v>11.8</v>
      </c>
      <c r="K13" s="3">
        <f t="shared" si="0"/>
        <v>11.8</v>
      </c>
      <c r="L13" s="3">
        <f t="shared" si="0"/>
        <v>11.8</v>
      </c>
      <c r="M13" s="3">
        <f t="shared" si="0"/>
        <v>11.8</v>
      </c>
      <c r="P13" s="3" t="s">
        <v>990</v>
      </c>
      <c r="Q13" s="10" t="str">
        <f t="shared" si="1"/>
        <v xml:space="preserve">ALPARGATAS  -ON  </v>
      </c>
      <c r="R13" s="51">
        <f t="shared" si="2"/>
        <v>41705</v>
      </c>
      <c r="S13" s="5">
        <f t="shared" si="3"/>
        <v>11.8</v>
      </c>
      <c r="T13" s="5">
        <f t="shared" si="4"/>
        <v>11.8</v>
      </c>
      <c r="U13" s="5">
        <f t="shared" si="5"/>
        <v>11.8</v>
      </c>
      <c r="V13" s="5">
        <f t="shared" si="6"/>
        <v>11.8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993</v>
      </c>
      <c r="D14" s="3" t="s">
        <v>1898</v>
      </c>
      <c r="E14" s="3" t="s">
        <v>1899</v>
      </c>
      <c r="F14" s="3" t="s">
        <v>1900</v>
      </c>
      <c r="G14" s="3" t="s">
        <v>1901</v>
      </c>
      <c r="H14" s="51">
        <v>41705</v>
      </c>
      <c r="J14" s="3">
        <f t="shared" si="7"/>
        <v>13.48</v>
      </c>
      <c r="K14" s="3">
        <f t="shared" si="0"/>
        <v>13.1</v>
      </c>
      <c r="L14" s="3">
        <f t="shared" si="0"/>
        <v>13.5</v>
      </c>
      <c r="M14" s="3">
        <f t="shared" si="0"/>
        <v>13.06</v>
      </c>
      <c r="P14" s="14" t="s">
        <v>991</v>
      </c>
      <c r="Q14" s="10" t="str">
        <f t="shared" si="1"/>
        <v xml:space="preserve">ALPARGATAS  -PN  </v>
      </c>
      <c r="R14" s="51">
        <f t="shared" si="2"/>
        <v>41705</v>
      </c>
      <c r="S14" s="5">
        <f t="shared" si="3"/>
        <v>13.48</v>
      </c>
      <c r="T14" s="5">
        <f t="shared" si="4"/>
        <v>13.1</v>
      </c>
      <c r="U14" s="5">
        <f t="shared" si="5"/>
        <v>13.5</v>
      </c>
      <c r="V14" s="5">
        <f t="shared" si="6"/>
        <v>13.06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1052</v>
      </c>
      <c r="D15" s="3" t="s">
        <v>1414</v>
      </c>
      <c r="E15" s="3" t="s">
        <v>1902</v>
      </c>
      <c r="F15" s="3" t="s">
        <v>1903</v>
      </c>
      <c r="G15" s="3" t="s">
        <v>1414</v>
      </c>
      <c r="H15" s="51">
        <v>41705</v>
      </c>
      <c r="J15" s="3">
        <f t="shared" si="7"/>
        <v>13.99</v>
      </c>
      <c r="K15" s="3">
        <f t="shared" si="0"/>
        <v>14.04</v>
      </c>
      <c r="L15" s="3">
        <f t="shared" si="0"/>
        <v>14.33</v>
      </c>
      <c r="M15" s="3">
        <f t="shared" si="0"/>
        <v>13.99</v>
      </c>
      <c r="P15" s="15" t="s">
        <v>1051</v>
      </c>
      <c r="Q15" s="10" t="str">
        <f t="shared" si="1"/>
        <v xml:space="preserve">LOJAS MARISA-ON  </v>
      </c>
      <c r="R15" s="51">
        <f t="shared" si="2"/>
        <v>41705</v>
      </c>
      <c r="S15" s="5">
        <f t="shared" si="3"/>
        <v>13.99</v>
      </c>
      <c r="T15" s="5">
        <f t="shared" si="4"/>
        <v>14.04</v>
      </c>
      <c r="U15" s="5">
        <f t="shared" si="5"/>
        <v>14.33</v>
      </c>
      <c r="V15" s="5">
        <f t="shared" si="6"/>
        <v>13.99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1036</v>
      </c>
      <c r="D16" s="3" t="s">
        <v>1904</v>
      </c>
      <c r="E16" s="3" t="s">
        <v>1905</v>
      </c>
      <c r="F16" s="3" t="s">
        <v>1904</v>
      </c>
      <c r="G16" s="3" t="s">
        <v>1906</v>
      </c>
      <c r="H16" s="51">
        <v>41705</v>
      </c>
      <c r="J16" s="3">
        <f t="shared" si="7"/>
        <v>27.33</v>
      </c>
      <c r="K16" s="3">
        <f t="shared" si="0"/>
        <v>26.09</v>
      </c>
      <c r="L16" s="3">
        <f t="shared" si="0"/>
        <v>27.33</v>
      </c>
      <c r="M16" s="3">
        <f t="shared" si="0"/>
        <v>26.04</v>
      </c>
      <c r="P16" s="15" t="s">
        <v>1035</v>
      </c>
      <c r="Q16" s="10" t="str">
        <f t="shared" si="1"/>
        <v xml:space="preserve">AREZZO CO   -ON  </v>
      </c>
      <c r="R16" s="51">
        <f t="shared" si="2"/>
        <v>41705</v>
      </c>
      <c r="S16" s="5">
        <f t="shared" si="3"/>
        <v>27.33</v>
      </c>
      <c r="T16" s="5">
        <f t="shared" si="4"/>
        <v>26.09</v>
      </c>
      <c r="U16" s="5">
        <f t="shared" si="5"/>
        <v>27.33</v>
      </c>
      <c r="V16" s="5">
        <f t="shared" si="6"/>
        <v>26.04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1062</v>
      </c>
      <c r="D17" s="3" t="s">
        <v>1377</v>
      </c>
      <c r="E17" s="3" t="s">
        <v>1907</v>
      </c>
      <c r="F17" s="3" t="s">
        <v>1377</v>
      </c>
      <c r="G17" s="3" t="s">
        <v>1908</v>
      </c>
      <c r="H17" s="51">
        <v>41705</v>
      </c>
      <c r="J17" s="3">
        <f t="shared" si="7"/>
        <v>1.45</v>
      </c>
      <c r="K17" s="3">
        <f t="shared" si="0"/>
        <v>1.41</v>
      </c>
      <c r="L17" s="3">
        <f t="shared" si="0"/>
        <v>1.45</v>
      </c>
      <c r="M17" s="3">
        <f t="shared" si="0"/>
        <v>1.39</v>
      </c>
      <c r="P17" s="10" t="s">
        <v>1061</v>
      </c>
      <c r="Q17" s="10" t="str">
        <f t="shared" si="1"/>
        <v xml:space="preserve">BROOKFIELD  -ON  </v>
      </c>
      <c r="R17" s="51">
        <f t="shared" si="2"/>
        <v>41705</v>
      </c>
      <c r="S17" s="5">
        <f t="shared" si="3"/>
        <v>1.45</v>
      </c>
      <c r="T17" s="5">
        <f t="shared" si="4"/>
        <v>1.41</v>
      </c>
      <c r="U17" s="5">
        <f t="shared" si="5"/>
        <v>1.45</v>
      </c>
      <c r="V17" s="5">
        <f t="shared" si="6"/>
        <v>1.39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863</v>
      </c>
      <c r="D18" s="3" t="s">
        <v>1909</v>
      </c>
      <c r="E18" s="3" t="s">
        <v>1910</v>
      </c>
      <c r="F18" s="3" t="s">
        <v>1911</v>
      </c>
      <c r="G18" s="3" t="s">
        <v>1910</v>
      </c>
      <c r="H18" s="51">
        <v>41705</v>
      </c>
      <c r="J18" s="3">
        <f t="shared" si="7"/>
        <v>325.01</v>
      </c>
      <c r="K18" s="3">
        <f t="shared" si="0"/>
        <v>320.5</v>
      </c>
      <c r="L18" s="3">
        <f t="shared" si="0"/>
        <v>326</v>
      </c>
      <c r="M18" s="3">
        <f t="shared" si="0"/>
        <v>320.5</v>
      </c>
      <c r="P18" s="14" t="s">
        <v>862</v>
      </c>
      <c r="Q18" s="10" t="str">
        <f t="shared" si="1"/>
        <v>BIC MONARK  -ON</v>
      </c>
      <c r="R18" s="51">
        <f t="shared" si="2"/>
        <v>41705</v>
      </c>
      <c r="S18" s="5">
        <f t="shared" si="3"/>
        <v>325.01</v>
      </c>
      <c r="T18" s="5">
        <f t="shared" si="4"/>
        <v>320.5</v>
      </c>
      <c r="U18" s="5">
        <f t="shared" si="5"/>
        <v>326</v>
      </c>
      <c r="V18" s="5">
        <f t="shared" si="6"/>
        <v>320.5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875</v>
      </c>
      <c r="D19" s="3" t="s">
        <v>989</v>
      </c>
      <c r="E19" s="3" t="s">
        <v>989</v>
      </c>
      <c r="F19" s="3" t="s">
        <v>989</v>
      </c>
      <c r="G19" s="3" t="s">
        <v>989</v>
      </c>
      <c r="H19" s="51">
        <v>41705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873</v>
      </c>
      <c r="Q19" s="10" t="str">
        <f t="shared" si="1"/>
        <v>BRASMOTOR   -ON</v>
      </c>
      <c r="R19" s="51">
        <f t="shared" si="2"/>
        <v>41705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876</v>
      </c>
      <c r="D20" s="3" t="s">
        <v>1912</v>
      </c>
      <c r="E20" s="3" t="s">
        <v>1913</v>
      </c>
      <c r="F20" s="3" t="s">
        <v>1913</v>
      </c>
      <c r="G20" s="3" t="s">
        <v>1912</v>
      </c>
      <c r="H20" s="51">
        <v>41705</v>
      </c>
      <c r="J20" s="3">
        <f t="shared" si="7"/>
        <v>0.86</v>
      </c>
      <c r="K20" s="3">
        <f t="shared" si="0"/>
        <v>0.87</v>
      </c>
      <c r="L20" s="3">
        <f t="shared" si="0"/>
        <v>0.87</v>
      </c>
      <c r="M20" s="3">
        <f t="shared" si="0"/>
        <v>0.86</v>
      </c>
      <c r="P20" s="15" t="s">
        <v>874</v>
      </c>
      <c r="Q20" s="10" t="str">
        <f t="shared" si="1"/>
        <v>BRASMOTOR   -PN</v>
      </c>
      <c r="R20" s="51">
        <f t="shared" si="2"/>
        <v>41705</v>
      </c>
      <c r="S20" s="5">
        <f t="shared" si="3"/>
        <v>0.86</v>
      </c>
      <c r="T20" s="5">
        <f t="shared" si="4"/>
        <v>0.87</v>
      </c>
      <c r="U20" s="5">
        <f t="shared" si="5"/>
        <v>0.87</v>
      </c>
      <c r="V20" s="5">
        <f t="shared" si="6"/>
        <v>0.86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840</v>
      </c>
      <c r="D21" s="3" t="s">
        <v>1914</v>
      </c>
      <c r="E21" s="3" t="s">
        <v>1914</v>
      </c>
      <c r="F21" s="3" t="s">
        <v>1914</v>
      </c>
      <c r="G21" s="3" t="s">
        <v>1914</v>
      </c>
      <c r="H21" s="51">
        <v>41705</v>
      </c>
      <c r="J21" s="3">
        <f t="shared" si="7"/>
        <v>9.11</v>
      </c>
      <c r="K21" s="3">
        <f t="shared" si="0"/>
        <v>9.11</v>
      </c>
      <c r="L21" s="3">
        <f t="shared" si="0"/>
        <v>9.11</v>
      </c>
      <c r="M21" s="3">
        <f t="shared" si="0"/>
        <v>9.11</v>
      </c>
      <c r="P21" s="14" t="s">
        <v>839</v>
      </c>
      <c r="Q21" s="10" t="str">
        <f t="shared" si="1"/>
        <v xml:space="preserve">BIOSEV      -ON  </v>
      </c>
      <c r="R21" s="51">
        <f t="shared" si="2"/>
        <v>41705</v>
      </c>
      <c r="S21" s="5">
        <f t="shared" si="3"/>
        <v>9.11</v>
      </c>
      <c r="T21" s="5">
        <f t="shared" si="4"/>
        <v>9.11</v>
      </c>
      <c r="U21" s="5">
        <f t="shared" si="5"/>
        <v>9.11</v>
      </c>
      <c r="V21" s="5">
        <f t="shared" si="6"/>
        <v>9.11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1065</v>
      </c>
      <c r="D22" s="3" t="s">
        <v>426</v>
      </c>
      <c r="E22" s="3" t="s">
        <v>1066</v>
      </c>
      <c r="F22" s="3" t="s">
        <v>1066</v>
      </c>
      <c r="G22" s="3" t="s">
        <v>1066</v>
      </c>
      <c r="H22" s="51">
        <v>41705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1063</v>
      </c>
      <c r="Q22" s="10" t="str">
        <f t="shared" si="1"/>
        <v>CONST A LIND-ON</v>
      </c>
      <c r="R22" s="51">
        <f t="shared" si="2"/>
        <v>41705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1067</v>
      </c>
      <c r="D23" s="3" t="s">
        <v>426</v>
      </c>
      <c r="E23" s="3" t="s">
        <v>1068</v>
      </c>
      <c r="F23" s="3" t="s">
        <v>1068</v>
      </c>
      <c r="G23" s="3" t="s">
        <v>1068</v>
      </c>
      <c r="H23" s="51">
        <v>41705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1064</v>
      </c>
      <c r="Q23" s="10" t="str">
        <f t="shared" si="1"/>
        <v>CONST A LIND-PN</v>
      </c>
      <c r="R23" s="51">
        <f t="shared" si="2"/>
        <v>41705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997</v>
      </c>
      <c r="D24" s="3" t="s">
        <v>426</v>
      </c>
      <c r="E24" s="3" t="s">
        <v>427</v>
      </c>
      <c r="F24" s="3" t="s">
        <v>426</v>
      </c>
      <c r="G24" s="3" t="s">
        <v>426</v>
      </c>
      <c r="H24" s="51" t="s">
        <v>426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995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998</v>
      </c>
      <c r="D25" s="3" t="s">
        <v>1915</v>
      </c>
      <c r="E25" s="3" t="s">
        <v>1916</v>
      </c>
      <c r="F25" s="3" t="s">
        <v>1511</v>
      </c>
      <c r="G25" s="3" t="s">
        <v>1915</v>
      </c>
      <c r="H25" s="51">
        <v>41705</v>
      </c>
      <c r="J25" s="3">
        <f t="shared" si="7"/>
        <v>2.0099999999999998</v>
      </c>
      <c r="K25" s="3">
        <f t="shared" si="7"/>
        <v>2.13</v>
      </c>
      <c r="L25" s="3">
        <f t="shared" si="7"/>
        <v>2.15</v>
      </c>
      <c r="M25" s="3">
        <f t="shared" si="7"/>
        <v>2.0099999999999998</v>
      </c>
      <c r="P25" s="10" t="s">
        <v>996</v>
      </c>
      <c r="Q25" s="10" t="str">
        <f t="shared" si="1"/>
        <v>CAMBUCI     -PN</v>
      </c>
      <c r="R25" s="51">
        <f t="shared" si="2"/>
        <v>41705</v>
      </c>
      <c r="S25" s="5">
        <f t="shared" si="3"/>
        <v>2.0099999999999998</v>
      </c>
      <c r="T25" s="5">
        <f t="shared" si="4"/>
        <v>2.13</v>
      </c>
      <c r="U25" s="5">
        <f t="shared" si="5"/>
        <v>2.15</v>
      </c>
      <c r="V25" s="5">
        <f t="shared" si="6"/>
        <v>2.0099999999999998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892</v>
      </c>
      <c r="D26" s="3" t="s">
        <v>426</v>
      </c>
      <c r="E26" s="3" t="s">
        <v>742</v>
      </c>
      <c r="F26" s="3" t="s">
        <v>742</v>
      </c>
      <c r="G26" s="3" t="s">
        <v>742</v>
      </c>
      <c r="H26" s="51">
        <v>41705</v>
      </c>
      <c r="J26" s="3" t="e">
        <f t="shared" si="7"/>
        <v>#VALUE!</v>
      </c>
      <c r="K26" s="3">
        <f t="shared" si="7"/>
        <v>11.5</v>
      </c>
      <c r="L26" s="3">
        <f t="shared" si="7"/>
        <v>11.5</v>
      </c>
      <c r="M26" s="3">
        <f t="shared" si="7"/>
        <v>11.5</v>
      </c>
      <c r="P26" s="14" t="s">
        <v>890</v>
      </c>
      <c r="Q26" s="10" t="str">
        <f t="shared" si="1"/>
        <v xml:space="preserve">CEDRO       -ON  </v>
      </c>
      <c r="R26" s="51">
        <f t="shared" si="2"/>
        <v>41705</v>
      </c>
      <c r="S26" s="5" t="e">
        <f t="shared" si="3"/>
        <v>#VALUE!</v>
      </c>
      <c r="T26" s="5">
        <f t="shared" si="4"/>
        <v>11.5</v>
      </c>
      <c r="U26" s="5">
        <f t="shared" si="5"/>
        <v>11.5</v>
      </c>
      <c r="V26" s="5">
        <f t="shared" si="6"/>
        <v>11.5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893</v>
      </c>
      <c r="D27" s="3" t="s">
        <v>1917</v>
      </c>
      <c r="E27" s="3" t="s">
        <v>1917</v>
      </c>
      <c r="F27" s="3" t="s">
        <v>1917</v>
      </c>
      <c r="G27" s="3" t="s">
        <v>1917</v>
      </c>
      <c r="H27" s="51">
        <v>41705</v>
      </c>
      <c r="J27" s="3">
        <f t="shared" si="7"/>
        <v>11.19</v>
      </c>
      <c r="K27" s="3">
        <f t="shared" si="7"/>
        <v>11.19</v>
      </c>
      <c r="L27" s="3">
        <f t="shared" si="7"/>
        <v>11.19</v>
      </c>
      <c r="M27" s="3">
        <f t="shared" si="7"/>
        <v>11.19</v>
      </c>
      <c r="P27" s="14" t="s">
        <v>891</v>
      </c>
      <c r="Q27" s="10" t="str">
        <f t="shared" si="1"/>
        <v xml:space="preserve">CEDRO       -PN  </v>
      </c>
      <c r="R27" s="51">
        <f t="shared" si="2"/>
        <v>41705</v>
      </c>
      <c r="S27" s="5">
        <f t="shared" si="3"/>
        <v>11.19</v>
      </c>
      <c r="T27" s="5">
        <f t="shared" si="4"/>
        <v>11.19</v>
      </c>
      <c r="U27" s="5">
        <f t="shared" si="5"/>
        <v>11.19</v>
      </c>
      <c r="V27" s="5">
        <f t="shared" si="6"/>
        <v>11.19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1039</v>
      </c>
      <c r="D28" s="3" t="s">
        <v>1918</v>
      </c>
      <c r="E28" s="3" t="s">
        <v>1537</v>
      </c>
      <c r="F28" s="3" t="s">
        <v>1537</v>
      </c>
      <c r="G28" s="3" t="s">
        <v>1918</v>
      </c>
      <c r="H28" s="51">
        <v>41705</v>
      </c>
      <c r="J28" s="3">
        <f t="shared" si="7"/>
        <v>17.41</v>
      </c>
      <c r="K28" s="3">
        <f t="shared" si="7"/>
        <v>17.5</v>
      </c>
      <c r="L28" s="3">
        <f t="shared" si="7"/>
        <v>17.5</v>
      </c>
      <c r="M28" s="3">
        <f t="shared" si="7"/>
        <v>17.41</v>
      </c>
      <c r="P28" s="15" t="s">
        <v>1037</v>
      </c>
      <c r="Q28" s="10" t="str">
        <f t="shared" si="1"/>
        <v>GRAZZIOTIN  -ON</v>
      </c>
      <c r="R28" s="51">
        <f t="shared" si="2"/>
        <v>41705</v>
      </c>
      <c r="S28" s="5">
        <f t="shared" si="3"/>
        <v>17.41</v>
      </c>
      <c r="T28" s="5">
        <f t="shared" si="4"/>
        <v>17.5</v>
      </c>
      <c r="U28" s="5">
        <f t="shared" si="5"/>
        <v>17.5</v>
      </c>
      <c r="V28" s="5">
        <f t="shared" si="6"/>
        <v>17.41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1040</v>
      </c>
      <c r="D29" s="3" t="s">
        <v>1919</v>
      </c>
      <c r="E29" s="3" t="s">
        <v>1356</v>
      </c>
      <c r="F29" s="3" t="s">
        <v>1919</v>
      </c>
      <c r="G29" s="3" t="s">
        <v>1356</v>
      </c>
      <c r="H29" s="51">
        <v>41705</v>
      </c>
      <c r="J29" s="3">
        <f>IF($A29="",0,VALUE(CONCATENATE(LEFT(D29,LEN(D29)-3),",",RIGHT(D29,2))))</f>
        <v>17.350000000000001</v>
      </c>
      <c r="K29" s="3">
        <f t="shared" si="7"/>
        <v>16.98</v>
      </c>
      <c r="L29" s="3">
        <f t="shared" si="7"/>
        <v>17.350000000000001</v>
      </c>
      <c r="M29" s="3">
        <f t="shared" si="7"/>
        <v>16.98</v>
      </c>
      <c r="P29" s="14" t="s">
        <v>1038</v>
      </c>
      <c r="Q29" s="10" t="str">
        <f t="shared" si="1"/>
        <v>GRAZZIOTIN  -PN</v>
      </c>
      <c r="R29" s="51">
        <f t="shared" si="2"/>
        <v>41705</v>
      </c>
      <c r="S29" s="5">
        <f t="shared" si="3"/>
        <v>17.350000000000001</v>
      </c>
      <c r="T29" s="5">
        <f t="shared" si="4"/>
        <v>16.98</v>
      </c>
      <c r="U29" s="5">
        <f t="shared" si="5"/>
        <v>17.350000000000001</v>
      </c>
      <c r="V29" s="5">
        <f t="shared" si="6"/>
        <v>16.98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1077</v>
      </c>
      <c r="D30" s="3" t="s">
        <v>1920</v>
      </c>
      <c r="E30" s="3" t="s">
        <v>1920</v>
      </c>
      <c r="F30" s="3" t="s">
        <v>1920</v>
      </c>
      <c r="G30" s="3" t="s">
        <v>1920</v>
      </c>
      <c r="H30" s="51">
        <v>41705</v>
      </c>
      <c r="J30" s="3">
        <f t="shared" si="7"/>
        <v>3.21</v>
      </c>
      <c r="K30" s="3">
        <f t="shared" si="7"/>
        <v>3.21</v>
      </c>
      <c r="L30" s="3">
        <f t="shared" si="7"/>
        <v>3.21</v>
      </c>
      <c r="M30" s="3">
        <f t="shared" si="7"/>
        <v>3.21</v>
      </c>
      <c r="P30" s="14" t="s">
        <v>1069</v>
      </c>
      <c r="Q30" s="10" t="str">
        <f t="shared" si="1"/>
        <v xml:space="preserve">CR2         -ON  </v>
      </c>
      <c r="R30" s="51">
        <f t="shared" si="2"/>
        <v>41705</v>
      </c>
      <c r="S30" s="5">
        <f t="shared" si="3"/>
        <v>3.21</v>
      </c>
      <c r="T30" s="5">
        <f t="shared" si="4"/>
        <v>3.21</v>
      </c>
      <c r="U30" s="5">
        <f t="shared" si="5"/>
        <v>3.21</v>
      </c>
      <c r="V30" s="5">
        <f t="shared" si="6"/>
        <v>3.21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968</v>
      </c>
      <c r="D31" s="3" t="s">
        <v>426</v>
      </c>
      <c r="E31" s="3" t="s">
        <v>969</v>
      </c>
      <c r="F31" s="3" t="s">
        <v>969</v>
      </c>
      <c r="G31" s="3" t="s">
        <v>969</v>
      </c>
      <c r="H31" s="51">
        <v>41705</v>
      </c>
      <c r="J31" s="3" t="e">
        <f t="shared" si="7"/>
        <v>#VALUE!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966</v>
      </c>
      <c r="Q31" s="10" t="str">
        <f t="shared" si="1"/>
        <v>KARSTEN     -ON</v>
      </c>
      <c r="R31" s="51">
        <f t="shared" si="2"/>
        <v>41705</v>
      </c>
      <c r="S31" s="5" t="e">
        <f t="shared" si="3"/>
        <v>#VALUE!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970</v>
      </c>
      <c r="D32" s="3" t="s">
        <v>1363</v>
      </c>
      <c r="E32" s="3" t="s">
        <v>1363</v>
      </c>
      <c r="F32" s="3" t="s">
        <v>1363</v>
      </c>
      <c r="G32" s="3" t="s">
        <v>1363</v>
      </c>
      <c r="H32" s="51">
        <v>41705</v>
      </c>
      <c r="J32" s="3">
        <f t="shared" si="7"/>
        <v>0.68</v>
      </c>
      <c r="K32" s="3">
        <f t="shared" si="7"/>
        <v>0.68</v>
      </c>
      <c r="L32" s="3">
        <f t="shared" si="7"/>
        <v>0.68</v>
      </c>
      <c r="M32" s="3">
        <f t="shared" si="7"/>
        <v>0.68</v>
      </c>
      <c r="P32" s="14" t="s">
        <v>967</v>
      </c>
      <c r="Q32" s="10" t="str">
        <f t="shared" si="1"/>
        <v>KARSTEN     -PN</v>
      </c>
      <c r="R32" s="51">
        <f t="shared" si="2"/>
        <v>41705</v>
      </c>
      <c r="S32" s="5">
        <f t="shared" si="3"/>
        <v>0.68</v>
      </c>
      <c r="T32" s="5">
        <f t="shared" si="4"/>
        <v>0.68</v>
      </c>
      <c r="U32" s="5">
        <f t="shared" si="5"/>
        <v>0.68</v>
      </c>
      <c r="V32" s="5">
        <f t="shared" si="6"/>
        <v>0.68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949</v>
      </c>
      <c r="D33" s="3" t="s">
        <v>1432</v>
      </c>
      <c r="E33" s="3" t="s">
        <v>1432</v>
      </c>
      <c r="F33" s="3" t="s">
        <v>1432</v>
      </c>
      <c r="G33" s="3" t="s">
        <v>1432</v>
      </c>
      <c r="H33" s="51">
        <v>41705</v>
      </c>
      <c r="J33" s="3">
        <f t="shared" si="7"/>
        <v>2.38</v>
      </c>
      <c r="K33" s="3">
        <f t="shared" si="7"/>
        <v>2.38</v>
      </c>
      <c r="L33" s="3">
        <f t="shared" si="7"/>
        <v>2.38</v>
      </c>
      <c r="M33" s="3">
        <f t="shared" si="7"/>
        <v>2.38</v>
      </c>
      <c r="P33" s="14" t="s">
        <v>947</v>
      </c>
      <c r="Q33" s="10" t="str">
        <f t="shared" si="1"/>
        <v>COTEMINAS   -ON</v>
      </c>
      <c r="R33" s="51">
        <f t="shared" si="2"/>
        <v>41705</v>
      </c>
      <c r="S33" s="5">
        <f t="shared" si="3"/>
        <v>2.38</v>
      </c>
      <c r="T33" s="5">
        <f t="shared" si="4"/>
        <v>2.38</v>
      </c>
      <c r="U33" s="5">
        <f t="shared" si="5"/>
        <v>2.38</v>
      </c>
      <c r="V33" s="5">
        <f t="shared" si="6"/>
        <v>2.38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950</v>
      </c>
      <c r="D34" s="3" t="s">
        <v>1921</v>
      </c>
      <c r="E34" s="3" t="s">
        <v>1922</v>
      </c>
      <c r="F34" s="3" t="s">
        <v>1923</v>
      </c>
      <c r="G34" s="3" t="s">
        <v>1921</v>
      </c>
      <c r="H34" s="51">
        <v>41705</v>
      </c>
      <c r="J34" s="3">
        <f t="shared" si="7"/>
        <v>2.0499999999999998</v>
      </c>
      <c r="K34" s="3">
        <f t="shared" si="7"/>
        <v>2.1</v>
      </c>
      <c r="L34" s="3">
        <f t="shared" si="7"/>
        <v>2.2400000000000002</v>
      </c>
      <c r="M34" s="3">
        <f t="shared" si="7"/>
        <v>2.0499999999999998</v>
      </c>
      <c r="P34" s="14" t="s">
        <v>948</v>
      </c>
      <c r="Q34" s="10" t="str">
        <f t="shared" si="1"/>
        <v>COTEMINAS   -PN</v>
      </c>
      <c r="R34" s="51">
        <f t="shared" si="2"/>
        <v>41705</v>
      </c>
      <c r="S34" s="5">
        <f t="shared" si="3"/>
        <v>2.0499999999999998</v>
      </c>
      <c r="T34" s="5">
        <f t="shared" si="4"/>
        <v>2.1</v>
      </c>
      <c r="U34" s="5">
        <f t="shared" si="5"/>
        <v>2.2400000000000002</v>
      </c>
      <c r="V34" s="5">
        <f t="shared" si="6"/>
        <v>2.0499999999999998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953</v>
      </c>
      <c r="D35" s="3" t="s">
        <v>1924</v>
      </c>
      <c r="E35" s="3" t="s">
        <v>1924</v>
      </c>
      <c r="F35" s="3" t="s">
        <v>1924</v>
      </c>
      <c r="G35" s="3" t="s">
        <v>1924</v>
      </c>
      <c r="H35" s="51">
        <v>41705</v>
      </c>
      <c r="J35" s="3">
        <f t="shared" si="7"/>
        <v>4.9800000000000004</v>
      </c>
      <c r="K35" s="3">
        <f t="shared" si="7"/>
        <v>4.9800000000000004</v>
      </c>
      <c r="L35" s="3">
        <f t="shared" si="7"/>
        <v>4.9800000000000004</v>
      </c>
      <c r="M35" s="3">
        <f t="shared" si="7"/>
        <v>4.9800000000000004</v>
      </c>
      <c r="P35" s="14" t="s">
        <v>951</v>
      </c>
      <c r="Q35" s="10" t="str">
        <f t="shared" si="1"/>
        <v>SANTANENSE  -ON</v>
      </c>
      <c r="R35" s="46">
        <f t="shared" si="2"/>
        <v>41705</v>
      </c>
      <c r="S35" s="6">
        <f t="shared" si="3"/>
        <v>4.9800000000000004</v>
      </c>
      <c r="T35" s="6">
        <f t="shared" si="4"/>
        <v>4.9800000000000004</v>
      </c>
      <c r="U35" s="6">
        <f t="shared" si="5"/>
        <v>4.9800000000000004</v>
      </c>
      <c r="V35" s="6">
        <f t="shared" si="6"/>
        <v>4.9800000000000004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954</v>
      </c>
      <c r="D36" s="3" t="s">
        <v>1433</v>
      </c>
      <c r="E36" s="3" t="s">
        <v>1434</v>
      </c>
      <c r="F36" s="3" t="s">
        <v>1433</v>
      </c>
      <c r="G36" s="3" t="s">
        <v>1434</v>
      </c>
      <c r="H36" s="51">
        <v>41705</v>
      </c>
      <c r="J36" s="3">
        <f t="shared" si="7"/>
        <v>5.94</v>
      </c>
      <c r="K36" s="3">
        <f t="shared" si="7"/>
        <v>5.93</v>
      </c>
      <c r="L36" s="3">
        <f t="shared" si="7"/>
        <v>5.94</v>
      </c>
      <c r="M36" s="3">
        <f t="shared" si="7"/>
        <v>5.93</v>
      </c>
      <c r="P36" s="14" t="s">
        <v>952</v>
      </c>
      <c r="Q36" s="10" t="str">
        <f t="shared" si="1"/>
        <v>SANTANENSE  -PN</v>
      </c>
      <c r="R36" s="51">
        <f t="shared" si="2"/>
        <v>41705</v>
      </c>
      <c r="S36" s="5">
        <f t="shared" si="3"/>
        <v>5.94</v>
      </c>
      <c r="T36" s="5">
        <f t="shared" si="4"/>
        <v>5.93</v>
      </c>
      <c r="U36" s="5">
        <f t="shared" si="5"/>
        <v>5.94</v>
      </c>
      <c r="V36" s="5">
        <f t="shared" si="6"/>
        <v>5.93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956</v>
      </c>
      <c r="D37" s="3" t="s">
        <v>426</v>
      </c>
      <c r="E37" s="3" t="s">
        <v>427</v>
      </c>
      <c r="F37" s="3" t="s">
        <v>426</v>
      </c>
      <c r="G37" s="3" t="s">
        <v>426</v>
      </c>
      <c r="H37" s="51" t="s">
        <v>426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955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850</v>
      </c>
      <c r="D38" s="3" t="s">
        <v>1925</v>
      </c>
      <c r="E38" s="3" t="s">
        <v>396</v>
      </c>
      <c r="F38" s="3" t="s">
        <v>1526</v>
      </c>
      <c r="G38" s="3" t="s">
        <v>1425</v>
      </c>
      <c r="H38" s="51">
        <v>41705</v>
      </c>
      <c r="J38" s="3">
        <f t="shared" si="7"/>
        <v>14.97</v>
      </c>
      <c r="K38" s="3">
        <f t="shared" si="7"/>
        <v>15</v>
      </c>
      <c r="L38" s="3">
        <f t="shared" si="7"/>
        <v>15.3</v>
      </c>
      <c r="M38" s="3">
        <f t="shared" si="7"/>
        <v>14.92</v>
      </c>
      <c r="P38" s="15" t="s">
        <v>849</v>
      </c>
      <c r="Q38" s="10" t="str">
        <f t="shared" si="1"/>
        <v xml:space="preserve">CVC BRASIL  -ON  </v>
      </c>
      <c r="R38" s="51">
        <f t="shared" si="2"/>
        <v>41705</v>
      </c>
      <c r="S38" s="5">
        <f t="shared" si="3"/>
        <v>14.97</v>
      </c>
      <c r="T38" s="5">
        <f t="shared" si="4"/>
        <v>15</v>
      </c>
      <c r="U38" s="5">
        <f t="shared" si="5"/>
        <v>15.3</v>
      </c>
      <c r="V38" s="5">
        <f t="shared" si="6"/>
        <v>14.92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1078</v>
      </c>
      <c r="D39" s="3" t="s">
        <v>1926</v>
      </c>
      <c r="E39" s="3" t="s">
        <v>1927</v>
      </c>
      <c r="F39" s="3" t="s">
        <v>1928</v>
      </c>
      <c r="G39" s="3" t="s">
        <v>1540</v>
      </c>
      <c r="H39" s="51">
        <v>41705</v>
      </c>
      <c r="J39" s="3">
        <f t="shared" si="7"/>
        <v>13.02</v>
      </c>
      <c r="K39" s="3">
        <f t="shared" si="7"/>
        <v>12.89</v>
      </c>
      <c r="L39" s="3">
        <f t="shared" si="7"/>
        <v>13.24</v>
      </c>
      <c r="M39" s="3">
        <f t="shared" si="7"/>
        <v>12.85</v>
      </c>
      <c r="P39" s="14" t="s">
        <v>1070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41705</v>
      </c>
      <c r="S39" s="5">
        <f t="shared" ref="S39:S70" si="10">J39</f>
        <v>13.02</v>
      </c>
      <c r="T39" s="5">
        <f t="shared" ref="T39:T70" si="11">K39</f>
        <v>12.89</v>
      </c>
      <c r="U39" s="5">
        <f t="shared" ref="U39:U70" si="12">L39</f>
        <v>13.24</v>
      </c>
      <c r="V39" s="5">
        <f t="shared" ref="V39:V70" si="13">M39</f>
        <v>12.85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1079</v>
      </c>
      <c r="D40" s="3" t="s">
        <v>1497</v>
      </c>
      <c r="E40" s="3" t="s">
        <v>1929</v>
      </c>
      <c r="F40" s="3" t="s">
        <v>1930</v>
      </c>
      <c r="G40" s="3" t="s">
        <v>1931</v>
      </c>
      <c r="H40" s="51">
        <v>41705</v>
      </c>
      <c r="J40" s="3">
        <f t="shared" si="7"/>
        <v>10.75</v>
      </c>
      <c r="K40" s="3">
        <f t="shared" si="7"/>
        <v>10.68</v>
      </c>
      <c r="L40" s="3">
        <f t="shared" si="7"/>
        <v>10.87</v>
      </c>
      <c r="M40" s="3">
        <f t="shared" si="7"/>
        <v>10.65</v>
      </c>
      <c r="P40" s="14" t="s">
        <v>1071</v>
      </c>
      <c r="Q40" s="10" t="str">
        <f t="shared" si="8"/>
        <v xml:space="preserve">DIRECIONAL  -ON  </v>
      </c>
      <c r="R40" s="51">
        <f t="shared" si="9"/>
        <v>41705</v>
      </c>
      <c r="S40" s="5">
        <f t="shared" si="10"/>
        <v>10.75</v>
      </c>
      <c r="T40" s="5">
        <f t="shared" si="11"/>
        <v>10.68</v>
      </c>
      <c r="U40" s="5">
        <f t="shared" si="12"/>
        <v>10.87</v>
      </c>
      <c r="V40" s="5">
        <f t="shared" si="13"/>
        <v>10.65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959</v>
      </c>
      <c r="D41" s="3" t="s">
        <v>426</v>
      </c>
      <c r="E41" s="3" t="s">
        <v>741</v>
      </c>
      <c r="F41" s="3" t="s">
        <v>741</v>
      </c>
      <c r="G41" s="3" t="s">
        <v>741</v>
      </c>
      <c r="H41" s="51">
        <v>41705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957</v>
      </c>
      <c r="Q41" s="10" t="str">
        <f t="shared" si="8"/>
        <v>DOHLER      -ON</v>
      </c>
      <c r="R41" s="51">
        <f t="shared" si="9"/>
        <v>41705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960</v>
      </c>
      <c r="D42" s="3" t="s">
        <v>1542</v>
      </c>
      <c r="E42" s="3" t="s">
        <v>1386</v>
      </c>
      <c r="F42" s="3" t="s">
        <v>1542</v>
      </c>
      <c r="G42" s="3" t="s">
        <v>1386</v>
      </c>
      <c r="H42" s="51">
        <v>41705</v>
      </c>
      <c r="J42" s="3">
        <f t="shared" si="7"/>
        <v>5.15</v>
      </c>
      <c r="K42" s="3">
        <f t="shared" si="7"/>
        <v>5.0999999999999996</v>
      </c>
      <c r="L42" s="3">
        <f t="shared" si="7"/>
        <v>5.15</v>
      </c>
      <c r="M42" s="3">
        <f t="shared" si="7"/>
        <v>5.0999999999999996</v>
      </c>
      <c r="P42" s="15" t="s">
        <v>958</v>
      </c>
      <c r="Q42" s="10" t="str">
        <f t="shared" si="8"/>
        <v>DOHLER      -PN</v>
      </c>
      <c r="R42" s="46">
        <f t="shared" si="9"/>
        <v>41705</v>
      </c>
      <c r="S42" s="6">
        <f t="shared" si="10"/>
        <v>5.15</v>
      </c>
      <c r="T42" s="6">
        <f t="shared" si="11"/>
        <v>5.0999999999999996</v>
      </c>
      <c r="U42" s="6">
        <f t="shared" si="12"/>
        <v>5.15</v>
      </c>
      <c r="V42" s="6">
        <f t="shared" si="13"/>
        <v>5.0999999999999996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963</v>
      </c>
      <c r="D43" s="3" t="s">
        <v>426</v>
      </c>
      <c r="E43" s="3" t="s">
        <v>964</v>
      </c>
      <c r="F43" s="3" t="s">
        <v>964</v>
      </c>
      <c r="G43" s="3" t="s">
        <v>964</v>
      </c>
      <c r="H43" s="51">
        <v>41705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961</v>
      </c>
      <c r="Q43" s="10" t="str">
        <f t="shared" si="8"/>
        <v>ENCORPAR    -ON</v>
      </c>
      <c r="R43" s="51">
        <f t="shared" si="9"/>
        <v>41705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965</v>
      </c>
      <c r="D44" s="3" t="s">
        <v>426</v>
      </c>
      <c r="E44" s="3" t="s">
        <v>918</v>
      </c>
      <c r="F44" s="3" t="s">
        <v>918</v>
      </c>
      <c r="G44" s="3" t="s">
        <v>918</v>
      </c>
      <c r="H44" s="51">
        <v>41705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962</v>
      </c>
      <c r="Q44" s="10" t="str">
        <f t="shared" si="8"/>
        <v>ENCORPAR    -PN</v>
      </c>
      <c r="R44" s="51">
        <f t="shared" si="9"/>
        <v>41705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934</v>
      </c>
      <c r="D45" s="3" t="s">
        <v>426</v>
      </c>
      <c r="E45" s="3" t="s">
        <v>714</v>
      </c>
      <c r="F45" s="3" t="s">
        <v>714</v>
      </c>
      <c r="G45" s="3" t="s">
        <v>714</v>
      </c>
      <c r="H45" s="51">
        <v>41705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932</v>
      </c>
      <c r="Q45" s="10" t="str">
        <f t="shared" si="8"/>
        <v>ESTRELA     -ON</v>
      </c>
      <c r="R45" s="51">
        <f t="shared" si="9"/>
        <v>41705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935</v>
      </c>
      <c r="D46" s="3" t="s">
        <v>1358</v>
      </c>
      <c r="E46" s="3" t="s">
        <v>1358</v>
      </c>
      <c r="F46" s="3" t="s">
        <v>1932</v>
      </c>
      <c r="G46" s="3" t="s">
        <v>1358</v>
      </c>
      <c r="H46" s="51">
        <v>41705</v>
      </c>
      <c r="J46" s="3">
        <f t="shared" si="7"/>
        <v>0.21</v>
      </c>
      <c r="K46" s="3">
        <f t="shared" si="7"/>
        <v>0.21</v>
      </c>
      <c r="L46" s="3">
        <f t="shared" si="7"/>
        <v>0.23</v>
      </c>
      <c r="M46" s="3">
        <f t="shared" si="7"/>
        <v>0.21</v>
      </c>
      <c r="P46" s="14" t="s">
        <v>933</v>
      </c>
      <c r="Q46" s="10" t="str">
        <f t="shared" si="8"/>
        <v>ESTRELA     -PN</v>
      </c>
      <c r="R46" s="51">
        <f t="shared" si="9"/>
        <v>41705</v>
      </c>
      <c r="S46" s="5">
        <f t="shared" si="10"/>
        <v>0.21</v>
      </c>
      <c r="T46" s="5">
        <f t="shared" si="11"/>
        <v>0.21</v>
      </c>
      <c r="U46" s="5">
        <f t="shared" si="12"/>
        <v>0.23</v>
      </c>
      <c r="V46" s="5">
        <f t="shared" si="13"/>
        <v>0.21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1080</v>
      </c>
      <c r="D47" s="3" t="s">
        <v>1933</v>
      </c>
      <c r="E47" s="3" t="s">
        <v>1934</v>
      </c>
      <c r="F47" s="3" t="s">
        <v>1476</v>
      </c>
      <c r="G47" s="3" t="s">
        <v>1934</v>
      </c>
      <c r="H47" s="51">
        <v>41705</v>
      </c>
      <c r="J47" s="3">
        <f t="shared" si="7"/>
        <v>7.14</v>
      </c>
      <c r="K47" s="3">
        <f t="shared" si="7"/>
        <v>7.05</v>
      </c>
      <c r="L47" s="3">
        <f t="shared" si="7"/>
        <v>7.3</v>
      </c>
      <c r="M47" s="3">
        <f t="shared" si="7"/>
        <v>7.05</v>
      </c>
      <c r="P47" s="15" t="s">
        <v>1072</v>
      </c>
      <c r="Q47" s="10" t="str">
        <f t="shared" si="8"/>
        <v xml:space="preserve">EVEN        -ON  </v>
      </c>
      <c r="R47" s="51">
        <f t="shared" si="9"/>
        <v>41705</v>
      </c>
      <c r="S47" s="5">
        <f t="shared" si="10"/>
        <v>7.14</v>
      </c>
      <c r="T47" s="5">
        <f t="shared" si="11"/>
        <v>7.05</v>
      </c>
      <c r="U47" s="5">
        <f t="shared" si="12"/>
        <v>7.3</v>
      </c>
      <c r="V47" s="5">
        <f t="shared" si="13"/>
        <v>7.05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1081</v>
      </c>
      <c r="D48" s="3" t="s">
        <v>1935</v>
      </c>
      <c r="E48" s="3" t="s">
        <v>1936</v>
      </c>
      <c r="F48" s="3" t="s">
        <v>1937</v>
      </c>
      <c r="G48" s="3" t="s">
        <v>1938</v>
      </c>
      <c r="H48" s="51">
        <v>41705</v>
      </c>
      <c r="J48" s="3">
        <f t="shared" si="7"/>
        <v>26.88</v>
      </c>
      <c r="K48" s="3">
        <f t="shared" si="7"/>
        <v>26.59</v>
      </c>
      <c r="L48" s="3">
        <f t="shared" si="7"/>
        <v>26.95</v>
      </c>
      <c r="M48" s="3">
        <f t="shared" si="7"/>
        <v>26.44</v>
      </c>
      <c r="P48" s="10" t="s">
        <v>1073</v>
      </c>
      <c r="Q48" s="10" t="str">
        <f t="shared" si="8"/>
        <v xml:space="preserve">EZTEC       -ON  </v>
      </c>
      <c r="R48" s="51">
        <f t="shared" si="9"/>
        <v>41705</v>
      </c>
      <c r="S48" s="5">
        <f t="shared" si="10"/>
        <v>26.88</v>
      </c>
      <c r="T48" s="5">
        <f t="shared" si="11"/>
        <v>26.59</v>
      </c>
      <c r="U48" s="5">
        <f t="shared" si="12"/>
        <v>26.95</v>
      </c>
      <c r="V48" s="5">
        <f t="shared" si="13"/>
        <v>26.44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1082</v>
      </c>
      <c r="D49" s="3" t="s">
        <v>1939</v>
      </c>
      <c r="E49" s="3" t="s">
        <v>1843</v>
      </c>
      <c r="F49" s="3" t="s">
        <v>1940</v>
      </c>
      <c r="G49" s="3" t="s">
        <v>1844</v>
      </c>
      <c r="H49" s="51">
        <v>41705</v>
      </c>
      <c r="J49" s="3">
        <f t="shared" si="7"/>
        <v>3.28</v>
      </c>
      <c r="K49" s="3">
        <f t="shared" si="7"/>
        <v>3.26</v>
      </c>
      <c r="L49" s="3">
        <f t="shared" si="7"/>
        <v>3.37</v>
      </c>
      <c r="M49" s="3">
        <f t="shared" si="7"/>
        <v>3.23</v>
      </c>
      <c r="P49" s="14" t="s">
        <v>1074</v>
      </c>
      <c r="Q49" s="10" t="str">
        <f t="shared" si="8"/>
        <v xml:space="preserve">GAFISA      -ON  </v>
      </c>
      <c r="R49" s="51">
        <f t="shared" si="9"/>
        <v>41705</v>
      </c>
      <c r="S49" s="5">
        <f t="shared" si="10"/>
        <v>3.28</v>
      </c>
      <c r="T49" s="5">
        <f t="shared" si="11"/>
        <v>3.26</v>
      </c>
      <c r="U49" s="5">
        <f t="shared" si="12"/>
        <v>3.37</v>
      </c>
      <c r="V49" s="5">
        <f t="shared" si="13"/>
        <v>3.23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1043</v>
      </c>
      <c r="D50" s="3" t="s">
        <v>1941</v>
      </c>
      <c r="E50" s="3" t="s">
        <v>1942</v>
      </c>
      <c r="F50" s="3" t="s">
        <v>1943</v>
      </c>
      <c r="G50" s="3" t="s">
        <v>1944</v>
      </c>
      <c r="H50" s="51">
        <v>41705</v>
      </c>
      <c r="J50" s="3">
        <f t="shared" si="7"/>
        <v>91.21</v>
      </c>
      <c r="K50" s="3">
        <f t="shared" si="7"/>
        <v>89.63</v>
      </c>
      <c r="L50" s="3">
        <f t="shared" si="7"/>
        <v>91.29</v>
      </c>
      <c r="M50" s="3">
        <f t="shared" si="7"/>
        <v>89.53</v>
      </c>
      <c r="P50" s="14" t="s">
        <v>1041</v>
      </c>
      <c r="Q50" s="10" t="str">
        <f t="shared" si="8"/>
        <v>GUARARAPES  -ON</v>
      </c>
      <c r="R50" s="51">
        <f t="shared" si="9"/>
        <v>41705</v>
      </c>
      <c r="S50" s="5">
        <f t="shared" si="10"/>
        <v>91.21</v>
      </c>
      <c r="T50" s="5">
        <f t="shared" si="11"/>
        <v>89.63</v>
      </c>
      <c r="U50" s="5">
        <f t="shared" si="12"/>
        <v>91.29</v>
      </c>
      <c r="V50" s="5">
        <f t="shared" si="13"/>
        <v>89.53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1044</v>
      </c>
      <c r="D51" s="3" t="s">
        <v>1945</v>
      </c>
      <c r="E51" s="3" t="s">
        <v>1946</v>
      </c>
      <c r="F51" s="3" t="s">
        <v>1945</v>
      </c>
      <c r="G51" s="3" t="s">
        <v>1947</v>
      </c>
      <c r="H51" s="51">
        <v>41705</v>
      </c>
      <c r="J51" s="3">
        <f t="shared" si="7"/>
        <v>83.9</v>
      </c>
      <c r="K51" s="3">
        <f t="shared" si="7"/>
        <v>83</v>
      </c>
      <c r="L51" s="3">
        <f t="shared" si="7"/>
        <v>83.9</v>
      </c>
      <c r="M51" s="3">
        <f t="shared" si="7"/>
        <v>82.99</v>
      </c>
      <c r="P51" s="14" t="s">
        <v>1042</v>
      </c>
      <c r="Q51" s="10" t="str">
        <f t="shared" si="8"/>
        <v>GUARARAPES  -PN</v>
      </c>
      <c r="R51" s="46">
        <f t="shared" si="9"/>
        <v>41705</v>
      </c>
      <c r="S51" s="6">
        <f t="shared" si="10"/>
        <v>83.9</v>
      </c>
      <c r="T51" s="6">
        <f t="shared" si="11"/>
        <v>83</v>
      </c>
      <c r="U51" s="6">
        <f t="shared" si="12"/>
        <v>83.9</v>
      </c>
      <c r="V51" s="6">
        <f t="shared" si="13"/>
        <v>82.99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1083</v>
      </c>
      <c r="D52" s="3" t="s">
        <v>1948</v>
      </c>
      <c r="E52" s="3" t="s">
        <v>1390</v>
      </c>
      <c r="F52" s="3" t="s">
        <v>1948</v>
      </c>
      <c r="G52" s="3" t="s">
        <v>1949</v>
      </c>
      <c r="H52" s="51">
        <v>41705</v>
      </c>
      <c r="J52" s="3">
        <f t="shared" si="7"/>
        <v>7.18</v>
      </c>
      <c r="K52" s="3">
        <f t="shared" si="7"/>
        <v>7.01</v>
      </c>
      <c r="L52" s="3">
        <f t="shared" si="7"/>
        <v>7.18</v>
      </c>
      <c r="M52" s="3">
        <f t="shared" si="7"/>
        <v>6.94</v>
      </c>
      <c r="P52" s="14" t="s">
        <v>1075</v>
      </c>
      <c r="Q52" s="10" t="str">
        <f t="shared" si="8"/>
        <v xml:space="preserve">HELBOR      -ON  </v>
      </c>
      <c r="R52" s="51">
        <f t="shared" si="9"/>
        <v>41705</v>
      </c>
      <c r="S52" s="5">
        <f t="shared" si="10"/>
        <v>7.18</v>
      </c>
      <c r="T52" s="5">
        <f t="shared" si="11"/>
        <v>7.01</v>
      </c>
      <c r="U52" s="5">
        <f t="shared" si="12"/>
        <v>7.18</v>
      </c>
      <c r="V52" s="5">
        <f t="shared" si="13"/>
        <v>6.94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943</v>
      </c>
      <c r="D53" s="3" t="s">
        <v>426</v>
      </c>
      <c r="E53" s="3" t="s">
        <v>658</v>
      </c>
      <c r="F53" s="3" t="s">
        <v>658</v>
      </c>
      <c r="G53" s="3" t="s">
        <v>658</v>
      </c>
      <c r="H53" s="51">
        <v>41705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941</v>
      </c>
      <c r="Q53" s="10" t="str">
        <f t="shared" si="8"/>
        <v>HERCULES    -ON</v>
      </c>
      <c r="R53" s="51">
        <f t="shared" si="9"/>
        <v>41705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944</v>
      </c>
      <c r="D54" s="3" t="s">
        <v>945</v>
      </c>
      <c r="E54" s="61" t="s">
        <v>945</v>
      </c>
      <c r="F54" s="61" t="s">
        <v>945</v>
      </c>
      <c r="G54" s="61" t="s">
        <v>945</v>
      </c>
      <c r="H54" s="51">
        <v>41705</v>
      </c>
      <c r="J54" s="3">
        <f t="shared" si="7"/>
        <v>0.3</v>
      </c>
      <c r="K54" s="3">
        <f t="shared" si="7"/>
        <v>0.3</v>
      </c>
      <c r="L54" s="3">
        <f t="shared" si="7"/>
        <v>0.3</v>
      </c>
      <c r="M54" s="3">
        <f t="shared" si="7"/>
        <v>0.3</v>
      </c>
      <c r="P54" s="14" t="s">
        <v>942</v>
      </c>
      <c r="Q54" s="10" t="str">
        <f t="shared" si="8"/>
        <v>HERCULES    -PN</v>
      </c>
      <c r="R54" s="51">
        <f t="shared" si="9"/>
        <v>41705</v>
      </c>
      <c r="S54" s="5">
        <f t="shared" si="10"/>
        <v>0.3</v>
      </c>
      <c r="T54" s="5">
        <f t="shared" si="11"/>
        <v>0.3</v>
      </c>
      <c r="U54" s="5">
        <f t="shared" si="12"/>
        <v>0.3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888</v>
      </c>
      <c r="D55" s="3" t="s">
        <v>1950</v>
      </c>
      <c r="E55" s="3" t="s">
        <v>1545</v>
      </c>
      <c r="F55" s="3" t="s">
        <v>1951</v>
      </c>
      <c r="G55" s="3" t="s">
        <v>1952</v>
      </c>
      <c r="H55" s="51">
        <v>41705</v>
      </c>
      <c r="J55" s="3">
        <f t="shared" si="7"/>
        <v>25.38</v>
      </c>
      <c r="K55" s="3">
        <f t="shared" si="7"/>
        <v>25.33</v>
      </c>
      <c r="L55" s="3">
        <f t="shared" si="7"/>
        <v>25.83</v>
      </c>
      <c r="M55" s="3">
        <f t="shared" si="7"/>
        <v>25.2</v>
      </c>
      <c r="P55" s="14" t="s">
        <v>887</v>
      </c>
      <c r="Q55" s="10" t="str">
        <f t="shared" si="8"/>
        <v xml:space="preserve">CIA HERING  -ON  </v>
      </c>
      <c r="R55" s="51">
        <f t="shared" si="9"/>
        <v>41705</v>
      </c>
      <c r="S55" s="5">
        <f t="shared" si="10"/>
        <v>25.38</v>
      </c>
      <c r="T55" s="5">
        <f t="shared" si="11"/>
        <v>25.33</v>
      </c>
      <c r="U55" s="5">
        <f t="shared" si="12"/>
        <v>25.83</v>
      </c>
      <c r="V55" s="5">
        <f t="shared" si="13"/>
        <v>25.2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886</v>
      </c>
      <c r="D56" s="3" t="s">
        <v>1546</v>
      </c>
      <c r="E56" s="3" t="s">
        <v>1546</v>
      </c>
      <c r="F56" s="3" t="s">
        <v>1953</v>
      </c>
      <c r="G56" s="3" t="s">
        <v>1954</v>
      </c>
      <c r="H56" s="51">
        <v>41705</v>
      </c>
      <c r="J56" s="3">
        <f t="shared" si="7"/>
        <v>6</v>
      </c>
      <c r="K56" s="3">
        <f t="shared" si="7"/>
        <v>6</v>
      </c>
      <c r="L56" s="3">
        <f t="shared" si="7"/>
        <v>6.4</v>
      </c>
      <c r="M56" s="3">
        <f t="shared" si="7"/>
        <v>5.86</v>
      </c>
      <c r="P56" s="14" t="s">
        <v>885</v>
      </c>
      <c r="Q56" s="10" t="str">
        <f t="shared" si="8"/>
        <v>IGB S/A     -ON</v>
      </c>
      <c r="R56" s="51">
        <f t="shared" si="9"/>
        <v>41705</v>
      </c>
      <c r="S56" s="5">
        <f t="shared" si="10"/>
        <v>6</v>
      </c>
      <c r="T56" s="5">
        <f t="shared" si="11"/>
        <v>6</v>
      </c>
      <c r="U56" s="5">
        <f t="shared" si="12"/>
        <v>6.4</v>
      </c>
      <c r="V56" s="5">
        <f t="shared" si="13"/>
        <v>5.86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834</v>
      </c>
      <c r="D57" s="3" t="s">
        <v>185</v>
      </c>
      <c r="E57" s="3" t="s">
        <v>185</v>
      </c>
      <c r="F57" s="3" t="s">
        <v>185</v>
      </c>
      <c r="G57" s="3" t="s">
        <v>185</v>
      </c>
      <c r="H57" s="51">
        <v>41705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831</v>
      </c>
      <c r="Q57" s="10" t="str">
        <f t="shared" si="8"/>
        <v>IGUACU CAFE -ON</v>
      </c>
      <c r="R57" s="51">
        <f t="shared" si="9"/>
        <v>41705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835</v>
      </c>
      <c r="D58" s="3" t="s">
        <v>920</v>
      </c>
      <c r="E58" s="3" t="s">
        <v>920</v>
      </c>
      <c r="F58" s="3" t="s">
        <v>920</v>
      </c>
      <c r="G58" s="3" t="s">
        <v>920</v>
      </c>
      <c r="H58" s="51">
        <v>41705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832</v>
      </c>
      <c r="Q58" s="10" t="str">
        <f t="shared" si="8"/>
        <v>IGUACU CAFE -PNA</v>
      </c>
      <c r="R58" s="51">
        <f t="shared" si="9"/>
        <v>41705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836</v>
      </c>
      <c r="D59" s="3" t="s">
        <v>760</v>
      </c>
      <c r="E59" s="61" t="s">
        <v>760</v>
      </c>
      <c r="F59" s="61" t="s">
        <v>760</v>
      </c>
      <c r="G59" s="61" t="s">
        <v>760</v>
      </c>
      <c r="H59" s="51">
        <v>41705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833</v>
      </c>
      <c r="Q59" s="10" t="str">
        <f t="shared" si="8"/>
        <v>IGUACU CAFE -PNB</v>
      </c>
      <c r="R59" s="51">
        <f t="shared" si="9"/>
        <v>41705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1031</v>
      </c>
      <c r="D60" s="3" t="s">
        <v>1368</v>
      </c>
      <c r="E60" s="61" t="s">
        <v>1695</v>
      </c>
      <c r="F60" s="61" t="s">
        <v>1510</v>
      </c>
      <c r="G60" s="61" t="s">
        <v>1955</v>
      </c>
      <c r="H60" s="51">
        <v>41705</v>
      </c>
      <c r="J60" s="3">
        <f t="shared" si="7"/>
        <v>15.5</v>
      </c>
      <c r="K60" s="3">
        <f t="shared" si="7"/>
        <v>15.19</v>
      </c>
      <c r="L60" s="3">
        <f t="shared" si="7"/>
        <v>15.58</v>
      </c>
      <c r="M60" s="3">
        <f t="shared" si="7"/>
        <v>15.04</v>
      </c>
      <c r="P60" s="14" t="s">
        <v>1028</v>
      </c>
      <c r="Q60" s="10" t="str">
        <f t="shared" si="8"/>
        <v xml:space="preserve">IMC HOLDINGS-ON  </v>
      </c>
      <c r="R60" s="51">
        <f t="shared" si="9"/>
        <v>41705</v>
      </c>
      <c r="S60" s="5">
        <f t="shared" si="10"/>
        <v>15.5</v>
      </c>
      <c r="T60" s="5">
        <f t="shared" si="11"/>
        <v>15.19</v>
      </c>
      <c r="U60" s="5">
        <f t="shared" si="12"/>
        <v>15.58</v>
      </c>
      <c r="V60" s="5">
        <f t="shared" si="13"/>
        <v>15.04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1095</v>
      </c>
      <c r="D61" s="3" t="s">
        <v>1547</v>
      </c>
      <c r="E61" s="3" t="s">
        <v>1547</v>
      </c>
      <c r="F61" s="3" t="s">
        <v>1547</v>
      </c>
      <c r="G61" s="3" t="s">
        <v>1547</v>
      </c>
      <c r="H61" s="51">
        <v>41705</v>
      </c>
      <c r="J61" s="3">
        <f t="shared" si="7"/>
        <v>5.79</v>
      </c>
      <c r="K61" s="3">
        <f t="shared" si="7"/>
        <v>5.79</v>
      </c>
      <c r="L61" s="3">
        <f t="shared" si="7"/>
        <v>5.79</v>
      </c>
      <c r="M61" s="3">
        <f t="shared" si="7"/>
        <v>5.79</v>
      </c>
      <c r="P61" s="10" t="s">
        <v>1085</v>
      </c>
      <c r="Q61" s="10" t="str">
        <f t="shared" si="8"/>
        <v>JOAO FORTES -ON</v>
      </c>
      <c r="R61" s="51">
        <f t="shared" si="9"/>
        <v>41705</v>
      </c>
      <c r="S61" s="5">
        <f t="shared" si="10"/>
        <v>5.79</v>
      </c>
      <c r="T61" s="5">
        <f t="shared" si="11"/>
        <v>5.79</v>
      </c>
      <c r="U61" s="5">
        <f t="shared" si="12"/>
        <v>5.79</v>
      </c>
      <c r="V61" s="5">
        <f t="shared" si="13"/>
        <v>5.79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1084</v>
      </c>
      <c r="D62" s="3" t="s">
        <v>1956</v>
      </c>
      <c r="E62" s="3" t="s">
        <v>1957</v>
      </c>
      <c r="F62" s="3" t="s">
        <v>1956</v>
      </c>
      <c r="G62" s="3" t="s">
        <v>1958</v>
      </c>
      <c r="H62" s="51">
        <v>41705</v>
      </c>
      <c r="J62" s="3">
        <f t="shared" si="7"/>
        <v>4.1900000000000004</v>
      </c>
      <c r="K62" s="3">
        <f t="shared" si="7"/>
        <v>4.07</v>
      </c>
      <c r="L62" s="3">
        <f t="shared" si="7"/>
        <v>4.1900000000000004</v>
      </c>
      <c r="M62" s="3">
        <f t="shared" si="7"/>
        <v>3.97</v>
      </c>
      <c r="P62" s="10" t="s">
        <v>1076</v>
      </c>
      <c r="Q62" s="10" t="str">
        <f t="shared" si="8"/>
        <v xml:space="preserve">JHSF PART   -ON  </v>
      </c>
      <c r="R62" s="51">
        <f t="shared" si="9"/>
        <v>41705</v>
      </c>
      <c r="S62" s="5">
        <f t="shared" si="10"/>
        <v>4.1900000000000004</v>
      </c>
      <c r="T62" s="5">
        <f t="shared" si="11"/>
        <v>4.07</v>
      </c>
      <c r="U62" s="5">
        <f t="shared" si="12"/>
        <v>4.1900000000000004</v>
      </c>
      <c r="V62" s="5">
        <f t="shared" si="13"/>
        <v>3.97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248</v>
      </c>
      <c r="D63" s="3" t="s">
        <v>426</v>
      </c>
      <c r="E63" s="3" t="s">
        <v>763</v>
      </c>
      <c r="F63" s="3" t="s">
        <v>763</v>
      </c>
      <c r="G63" s="3" t="s">
        <v>763</v>
      </c>
      <c r="H63" s="51">
        <v>41705</v>
      </c>
      <c r="J63" s="3" t="e">
        <f t="shared" si="7"/>
        <v>#VALUE!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246</v>
      </c>
      <c r="Q63" s="10" t="str">
        <f t="shared" si="8"/>
        <v>JOSAPAR     -ON</v>
      </c>
      <c r="R63" s="46">
        <f t="shared" si="9"/>
        <v>41705</v>
      </c>
      <c r="S63" s="6" t="e">
        <f t="shared" si="10"/>
        <v>#VALUE!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249</v>
      </c>
      <c r="D64" s="3" t="s">
        <v>426</v>
      </c>
      <c r="E64" s="3" t="s">
        <v>398</v>
      </c>
      <c r="F64" s="3" t="s">
        <v>398</v>
      </c>
      <c r="G64" s="3" t="s">
        <v>398</v>
      </c>
      <c r="H64" s="51">
        <v>41705</v>
      </c>
      <c r="J64" s="3" t="e">
        <f t="shared" si="7"/>
        <v>#VALUE!</v>
      </c>
      <c r="K64" s="3">
        <f t="shared" si="7"/>
        <v>20</v>
      </c>
      <c r="L64" s="3">
        <f t="shared" si="7"/>
        <v>20</v>
      </c>
      <c r="M64" s="3">
        <f t="shared" si="7"/>
        <v>20</v>
      </c>
      <c r="P64" s="14" t="s">
        <v>247</v>
      </c>
      <c r="Q64" s="10" t="str">
        <f t="shared" si="8"/>
        <v>JOSAPAR     -PN</v>
      </c>
      <c r="R64" s="51">
        <f t="shared" si="9"/>
        <v>41705</v>
      </c>
      <c r="S64" s="5" t="e">
        <f t="shared" si="10"/>
        <v>#VALUE!</v>
      </c>
      <c r="T64" s="5">
        <f t="shared" si="11"/>
        <v>20</v>
      </c>
      <c r="U64" s="5">
        <f t="shared" si="12"/>
        <v>20</v>
      </c>
      <c r="V64" s="5">
        <f t="shared" si="13"/>
        <v>20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1047</v>
      </c>
      <c r="D65" s="3" t="s">
        <v>426</v>
      </c>
      <c r="E65" s="3" t="s">
        <v>427</v>
      </c>
      <c r="F65" s="3" t="s">
        <v>426</v>
      </c>
      <c r="G65" s="3" t="s">
        <v>426</v>
      </c>
      <c r="H65" s="51" t="s">
        <v>426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1045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1048</v>
      </c>
      <c r="D66" s="3" t="s">
        <v>1379</v>
      </c>
      <c r="E66" s="3" t="s">
        <v>1379</v>
      </c>
      <c r="F66" s="3" t="s">
        <v>1379</v>
      </c>
      <c r="G66" s="3" t="s">
        <v>1379</v>
      </c>
      <c r="H66" s="51">
        <v>41705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1046</v>
      </c>
      <c r="Q66" s="10" t="str">
        <f t="shared" si="8"/>
        <v>LOJAS HERING-PN</v>
      </c>
      <c r="R66" s="51">
        <f t="shared" si="9"/>
        <v>41705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1033</v>
      </c>
      <c r="D67" s="3" t="s">
        <v>1959</v>
      </c>
      <c r="E67" s="3" t="s">
        <v>1960</v>
      </c>
      <c r="F67" s="3" t="s">
        <v>1959</v>
      </c>
      <c r="G67" s="3" t="s">
        <v>1961</v>
      </c>
      <c r="H67" s="51">
        <v>41705</v>
      </c>
      <c r="J67" s="3">
        <f t="shared" si="7"/>
        <v>6.37</v>
      </c>
      <c r="K67" s="3">
        <f t="shared" si="7"/>
        <v>6.01</v>
      </c>
      <c r="L67" s="3">
        <f t="shared" si="7"/>
        <v>6.37</v>
      </c>
      <c r="M67" s="3">
        <f t="shared" si="7"/>
        <v>6.1</v>
      </c>
      <c r="P67" s="15" t="s">
        <v>1032</v>
      </c>
      <c r="Q67" s="10" t="str">
        <f t="shared" si="8"/>
        <v xml:space="preserve">LE LIS BLANC-ON  </v>
      </c>
      <c r="R67" s="51">
        <f t="shared" si="9"/>
        <v>41705</v>
      </c>
      <c r="S67" s="5">
        <f t="shared" si="10"/>
        <v>6.37</v>
      </c>
      <c r="T67" s="5">
        <f t="shared" si="11"/>
        <v>6.01</v>
      </c>
      <c r="U67" s="5">
        <f t="shared" si="12"/>
        <v>6.37</v>
      </c>
      <c r="V67" s="5">
        <f t="shared" si="13"/>
        <v>6.1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1050</v>
      </c>
      <c r="D68" s="3" t="s">
        <v>1962</v>
      </c>
      <c r="E68" s="3" t="s">
        <v>1963</v>
      </c>
      <c r="F68" s="3" t="s">
        <v>1964</v>
      </c>
      <c r="G68" s="3" t="s">
        <v>1965</v>
      </c>
      <c r="H68" s="51">
        <v>41705</v>
      </c>
      <c r="J68" s="3">
        <f t="shared" si="7"/>
        <v>58.23</v>
      </c>
      <c r="K68" s="3">
        <f t="shared" si="7"/>
        <v>57.75</v>
      </c>
      <c r="L68" s="3">
        <f t="shared" si="7"/>
        <v>59.12</v>
      </c>
      <c r="M68" s="3">
        <f t="shared" si="7"/>
        <v>57.67</v>
      </c>
      <c r="P68" s="15" t="s">
        <v>1049</v>
      </c>
      <c r="Q68" s="10" t="str">
        <f t="shared" si="8"/>
        <v xml:space="preserve">LOJAS RENNER-ON  </v>
      </c>
      <c r="R68" s="51">
        <f t="shared" si="9"/>
        <v>41705</v>
      </c>
      <c r="S68" s="5">
        <f t="shared" si="10"/>
        <v>58.23</v>
      </c>
      <c r="T68" s="5">
        <f t="shared" si="11"/>
        <v>57.75</v>
      </c>
      <c r="U68" s="5">
        <f t="shared" si="12"/>
        <v>59.12</v>
      </c>
      <c r="V68" s="5">
        <f t="shared" si="13"/>
        <v>57.67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878</v>
      </c>
      <c r="D69" s="3" t="s">
        <v>897</v>
      </c>
      <c r="E69" s="3" t="s">
        <v>897</v>
      </c>
      <c r="F69" s="3" t="s">
        <v>1948</v>
      </c>
      <c r="G69" s="3" t="s">
        <v>1544</v>
      </c>
      <c r="H69" s="51">
        <v>41705</v>
      </c>
      <c r="J69" s="3">
        <f t="shared" si="7"/>
        <v>7</v>
      </c>
      <c r="K69" s="3">
        <f t="shared" si="7"/>
        <v>7</v>
      </c>
      <c r="L69" s="3">
        <f t="shared" si="7"/>
        <v>7.18</v>
      </c>
      <c r="M69" s="3">
        <f t="shared" si="7"/>
        <v>6.9</v>
      </c>
      <c r="P69" s="15" t="s">
        <v>877</v>
      </c>
      <c r="Q69" s="10" t="str">
        <f t="shared" si="8"/>
        <v xml:space="preserve">MAGAZ LUIZA -ON  </v>
      </c>
      <c r="R69" s="51">
        <f t="shared" si="9"/>
        <v>41705</v>
      </c>
      <c r="S69" s="5">
        <f t="shared" si="10"/>
        <v>7</v>
      </c>
      <c r="T69" s="5">
        <f t="shared" si="11"/>
        <v>7</v>
      </c>
      <c r="U69" s="5">
        <f t="shared" si="12"/>
        <v>7.18</v>
      </c>
      <c r="V69" s="5">
        <f t="shared" si="13"/>
        <v>6.9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1004</v>
      </c>
      <c r="D70" s="3" t="s">
        <v>1966</v>
      </c>
      <c r="E70" s="3" t="s">
        <v>1967</v>
      </c>
      <c r="F70" s="3" t="s">
        <v>1967</v>
      </c>
      <c r="G70" s="3" t="s">
        <v>1966</v>
      </c>
      <c r="H70" s="51">
        <v>41705</v>
      </c>
      <c r="J70" s="3">
        <f t="shared" si="7"/>
        <v>9.6999999999999993</v>
      </c>
      <c r="K70" s="3">
        <f t="shared" si="7"/>
        <v>9.84</v>
      </c>
      <c r="L70" s="3">
        <f t="shared" si="7"/>
        <v>9.84</v>
      </c>
      <c r="M70" s="3">
        <f t="shared" si="7"/>
        <v>9.6999999999999993</v>
      </c>
      <c r="P70" s="14" t="s">
        <v>1002</v>
      </c>
      <c r="Q70" s="10" t="str">
        <f t="shared" si="8"/>
        <v>MUNDIAL     -ON</v>
      </c>
      <c r="R70" s="51">
        <f t="shared" si="9"/>
        <v>41705</v>
      </c>
      <c r="S70" s="5">
        <f t="shared" si="10"/>
        <v>9.6999999999999993</v>
      </c>
      <c r="T70" s="5">
        <f t="shared" si="11"/>
        <v>9.84</v>
      </c>
      <c r="U70" s="5">
        <f t="shared" si="12"/>
        <v>9.84</v>
      </c>
      <c r="V70" s="5">
        <f t="shared" si="13"/>
        <v>9.6999999999999993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1096</v>
      </c>
      <c r="D71" s="3" t="s">
        <v>1353</v>
      </c>
      <c r="E71" s="3" t="s">
        <v>1968</v>
      </c>
      <c r="F71" s="3" t="s">
        <v>1814</v>
      </c>
      <c r="G71" s="3" t="s">
        <v>1439</v>
      </c>
      <c r="H71" s="51">
        <v>41705</v>
      </c>
      <c r="J71" s="3">
        <f t="shared" si="7"/>
        <v>8.3000000000000007</v>
      </c>
      <c r="K71" s="3">
        <f t="shared" si="7"/>
        <v>8.39</v>
      </c>
      <c r="L71" s="3">
        <f t="shared" si="7"/>
        <v>8.5500000000000007</v>
      </c>
      <c r="M71" s="3">
        <f t="shared" si="7"/>
        <v>8.25</v>
      </c>
      <c r="P71" s="15" t="s">
        <v>1086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41705</v>
      </c>
      <c r="S71" s="5">
        <f t="shared" ref="S71:S102" si="16">J71</f>
        <v>8.3000000000000007</v>
      </c>
      <c r="T71" s="5">
        <f t="shared" ref="T71:T102" si="17">K71</f>
        <v>8.39</v>
      </c>
      <c r="U71" s="5">
        <f t="shared" ref="U71:U102" si="18">L71</f>
        <v>8.5500000000000007</v>
      </c>
      <c r="V71" s="5">
        <f t="shared" ref="V71:V102" si="19">M71</f>
        <v>8.25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938</v>
      </c>
      <c r="D72" s="3" t="s">
        <v>426</v>
      </c>
      <c r="E72" s="3" t="s">
        <v>427</v>
      </c>
      <c r="F72" s="3" t="s">
        <v>426</v>
      </c>
      <c r="G72" s="3" t="s">
        <v>426</v>
      </c>
      <c r="H72" s="51" t="s">
        <v>426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936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939</v>
      </c>
      <c r="D73" s="3" t="s">
        <v>396</v>
      </c>
      <c r="E73" s="3" t="s">
        <v>396</v>
      </c>
      <c r="F73" s="3" t="s">
        <v>396</v>
      </c>
      <c r="G73" s="3" t="s">
        <v>396</v>
      </c>
      <c r="H73" s="51">
        <v>41705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937</v>
      </c>
      <c r="Q73" s="10" t="str">
        <f t="shared" si="14"/>
        <v>NADIR FIGUEI-PN</v>
      </c>
      <c r="R73" s="51">
        <f t="shared" si="15"/>
        <v>41705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1009</v>
      </c>
      <c r="D74" s="3" t="s">
        <v>1327</v>
      </c>
      <c r="E74" s="3" t="s">
        <v>1327</v>
      </c>
      <c r="F74" s="3" t="s">
        <v>1327</v>
      </c>
      <c r="G74" s="3" t="s">
        <v>1327</v>
      </c>
      <c r="H74" s="51">
        <v>41705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1007</v>
      </c>
      <c r="Q74" s="10" t="str">
        <f t="shared" si="14"/>
        <v>NET         -ON</v>
      </c>
      <c r="R74" s="51">
        <f t="shared" si="15"/>
        <v>41705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1010</v>
      </c>
      <c r="D75" s="3" t="s">
        <v>1969</v>
      </c>
      <c r="E75" s="3" t="s">
        <v>1969</v>
      </c>
      <c r="F75" s="3" t="s">
        <v>1969</v>
      </c>
      <c r="G75" s="3" t="s">
        <v>1969</v>
      </c>
      <c r="H75" s="51">
        <v>41705</v>
      </c>
      <c r="J75" s="3">
        <f t="shared" si="20"/>
        <v>28.05</v>
      </c>
      <c r="K75" s="3">
        <f t="shared" si="20"/>
        <v>28.05</v>
      </c>
      <c r="L75" s="3">
        <f t="shared" si="20"/>
        <v>28.05</v>
      </c>
      <c r="M75" s="3">
        <f t="shared" si="20"/>
        <v>28.05</v>
      </c>
      <c r="P75" s="14" t="s">
        <v>1008</v>
      </c>
      <c r="Q75" s="10" t="str">
        <f t="shared" si="14"/>
        <v>NET         -PN</v>
      </c>
      <c r="R75" s="51">
        <f t="shared" si="15"/>
        <v>41705</v>
      </c>
      <c r="S75" s="5">
        <f t="shared" si="16"/>
        <v>28.05</v>
      </c>
      <c r="T75" s="5">
        <f t="shared" si="17"/>
        <v>28.05</v>
      </c>
      <c r="U75" s="5">
        <f t="shared" si="18"/>
        <v>28.05</v>
      </c>
      <c r="V75" s="5">
        <f t="shared" si="19"/>
        <v>28.05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1097</v>
      </c>
      <c r="D76" s="3" t="s">
        <v>1365</v>
      </c>
      <c r="E76" s="3" t="s">
        <v>1970</v>
      </c>
      <c r="F76" s="3" t="s">
        <v>1346</v>
      </c>
      <c r="G76" s="3" t="s">
        <v>1907</v>
      </c>
      <c r="H76" s="51">
        <v>41705</v>
      </c>
      <c r="J76" s="3">
        <f t="shared" si="20"/>
        <v>1.46</v>
      </c>
      <c r="K76" s="3">
        <f t="shared" si="20"/>
        <v>1.42</v>
      </c>
      <c r="L76" s="3">
        <f t="shared" si="20"/>
        <v>1.48</v>
      </c>
      <c r="M76" s="3">
        <f t="shared" si="20"/>
        <v>1.41</v>
      </c>
      <c r="P76" s="15" t="s">
        <v>1087</v>
      </c>
      <c r="Q76" s="10" t="str">
        <f t="shared" si="14"/>
        <v xml:space="preserve">PDG REALT   -ON  </v>
      </c>
      <c r="R76" s="51">
        <f t="shared" si="15"/>
        <v>41705</v>
      </c>
      <c r="S76" s="5">
        <f t="shared" si="16"/>
        <v>1.46</v>
      </c>
      <c r="T76" s="5">
        <f t="shared" si="17"/>
        <v>1.42</v>
      </c>
      <c r="U76" s="5">
        <f t="shared" si="18"/>
        <v>1.48</v>
      </c>
      <c r="V76" s="5">
        <f t="shared" si="19"/>
        <v>1.41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973</v>
      </c>
      <c r="D77" s="3" t="s">
        <v>974</v>
      </c>
      <c r="E77" s="3" t="s">
        <v>974</v>
      </c>
      <c r="F77" s="3" t="s">
        <v>974</v>
      </c>
      <c r="G77" s="3" t="s">
        <v>974</v>
      </c>
      <c r="H77" s="51">
        <v>41705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971</v>
      </c>
      <c r="Q77" s="10" t="str">
        <f t="shared" si="14"/>
        <v>PETTENATI   -ON</v>
      </c>
      <c r="R77" s="51">
        <f t="shared" si="15"/>
        <v>41705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975</v>
      </c>
      <c r="D78" s="3" t="s">
        <v>1440</v>
      </c>
      <c r="E78" s="3" t="s">
        <v>1549</v>
      </c>
      <c r="F78" s="3" t="s">
        <v>1440</v>
      </c>
      <c r="G78" s="3" t="s">
        <v>1549</v>
      </c>
      <c r="H78" s="51">
        <v>41705</v>
      </c>
      <c r="J78" s="3">
        <f t="shared" si="20"/>
        <v>1.26</v>
      </c>
      <c r="K78" s="3">
        <f t="shared" si="20"/>
        <v>1.21</v>
      </c>
      <c r="L78" s="3">
        <f t="shared" si="20"/>
        <v>1.26</v>
      </c>
      <c r="M78" s="3">
        <f t="shared" si="20"/>
        <v>1.21</v>
      </c>
      <c r="P78" s="15" t="s">
        <v>972</v>
      </c>
      <c r="Q78" s="10" t="str">
        <f t="shared" si="14"/>
        <v>PETTENATI   -PN</v>
      </c>
      <c r="R78" s="51">
        <f t="shared" si="15"/>
        <v>41705</v>
      </c>
      <c r="S78" s="5">
        <f t="shared" si="16"/>
        <v>1.26</v>
      </c>
      <c r="T78" s="5">
        <f t="shared" si="17"/>
        <v>1.21</v>
      </c>
      <c r="U78" s="5">
        <f t="shared" si="18"/>
        <v>1.26</v>
      </c>
      <c r="V78" s="5">
        <f t="shared" si="19"/>
        <v>1.21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1098</v>
      </c>
      <c r="D79" s="3" t="s">
        <v>1971</v>
      </c>
      <c r="E79" s="3" t="s">
        <v>894</v>
      </c>
      <c r="F79" s="3" t="s">
        <v>742</v>
      </c>
      <c r="G79" s="3" t="s">
        <v>894</v>
      </c>
      <c r="H79" s="51">
        <v>41705</v>
      </c>
      <c r="J79" s="3">
        <f t="shared" si="20"/>
        <v>11.15</v>
      </c>
      <c r="K79" s="3">
        <f t="shared" si="20"/>
        <v>11.1</v>
      </c>
      <c r="L79" s="3">
        <f t="shared" si="20"/>
        <v>11.5</v>
      </c>
      <c r="M79" s="3">
        <f t="shared" si="20"/>
        <v>11.1</v>
      </c>
      <c r="P79" s="15" t="s">
        <v>1088</v>
      </c>
      <c r="Q79" s="10" t="str">
        <f t="shared" si="14"/>
        <v xml:space="preserve">RODOBENSIMOB-ON  </v>
      </c>
      <c r="R79" s="51">
        <f t="shared" si="15"/>
        <v>41705</v>
      </c>
      <c r="S79" s="5">
        <f t="shared" si="16"/>
        <v>11.15</v>
      </c>
      <c r="T79" s="5">
        <f t="shared" si="17"/>
        <v>11.1</v>
      </c>
      <c r="U79" s="5">
        <f t="shared" si="18"/>
        <v>11.5</v>
      </c>
      <c r="V79" s="5">
        <f t="shared" si="19"/>
        <v>11.1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1030</v>
      </c>
      <c r="D80" s="3" t="s">
        <v>1972</v>
      </c>
      <c r="E80" s="3" t="s">
        <v>1973</v>
      </c>
      <c r="F80" s="3" t="s">
        <v>1974</v>
      </c>
      <c r="G80" s="3" t="s">
        <v>1975</v>
      </c>
      <c r="H80" s="51">
        <v>41705</v>
      </c>
      <c r="J80" s="3">
        <f t="shared" si="20"/>
        <v>30.63</v>
      </c>
      <c r="K80" s="3">
        <f t="shared" si="20"/>
        <v>30.4</v>
      </c>
      <c r="L80" s="3">
        <f t="shared" si="20"/>
        <v>30.95</v>
      </c>
      <c r="M80" s="3">
        <f t="shared" si="20"/>
        <v>30.38</v>
      </c>
      <c r="P80" s="15" t="s">
        <v>1029</v>
      </c>
      <c r="Q80" s="10" t="str">
        <f t="shared" si="14"/>
        <v xml:space="preserve">LOCALIZA    -ON  </v>
      </c>
      <c r="R80" s="51">
        <f t="shared" si="15"/>
        <v>41705</v>
      </c>
      <c r="S80" s="5">
        <f t="shared" si="16"/>
        <v>30.63</v>
      </c>
      <c r="T80" s="5">
        <f t="shared" si="17"/>
        <v>30.4</v>
      </c>
      <c r="U80" s="5">
        <f t="shared" si="18"/>
        <v>30.95</v>
      </c>
      <c r="V80" s="5">
        <f t="shared" si="19"/>
        <v>30.38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845</v>
      </c>
      <c r="D81" s="3" t="s">
        <v>1976</v>
      </c>
      <c r="E81" s="3" t="s">
        <v>1352</v>
      </c>
      <c r="F81" s="3" t="s">
        <v>1976</v>
      </c>
      <c r="G81" s="3" t="s">
        <v>1352</v>
      </c>
      <c r="H81" s="51">
        <v>41705</v>
      </c>
      <c r="J81" s="3">
        <f t="shared" si="20"/>
        <v>0.17</v>
      </c>
      <c r="K81" s="3">
        <f t="shared" si="20"/>
        <v>0.16</v>
      </c>
      <c r="L81" s="3">
        <f t="shared" si="20"/>
        <v>0.17</v>
      </c>
      <c r="M81" s="3">
        <f t="shared" si="20"/>
        <v>0.16</v>
      </c>
      <c r="P81" s="14" t="s">
        <v>844</v>
      </c>
      <c r="Q81" s="10" t="str">
        <f t="shared" si="14"/>
        <v xml:space="preserve">RENAR       -ON  </v>
      </c>
      <c r="R81" s="51">
        <f t="shared" si="15"/>
        <v>41705</v>
      </c>
      <c r="S81" s="5">
        <f t="shared" si="16"/>
        <v>0.17</v>
      </c>
      <c r="T81" s="5">
        <f t="shared" si="17"/>
        <v>0.16</v>
      </c>
      <c r="U81" s="5">
        <f t="shared" si="18"/>
        <v>0.17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1099</v>
      </c>
      <c r="D82" s="3" t="s">
        <v>1977</v>
      </c>
      <c r="E82" s="3" t="s">
        <v>1978</v>
      </c>
      <c r="F82" s="3" t="s">
        <v>1979</v>
      </c>
      <c r="G82" s="3" t="s">
        <v>1978</v>
      </c>
      <c r="H82" s="51">
        <v>41705</v>
      </c>
      <c r="J82" s="3">
        <f t="shared" si="20"/>
        <v>1.65</v>
      </c>
      <c r="K82" s="3">
        <f t="shared" si="20"/>
        <v>1.62</v>
      </c>
      <c r="L82" s="3">
        <f t="shared" si="20"/>
        <v>1.68</v>
      </c>
      <c r="M82" s="3">
        <f t="shared" si="20"/>
        <v>1.62</v>
      </c>
      <c r="P82" s="14" t="s">
        <v>1089</v>
      </c>
      <c r="Q82" s="10" t="str">
        <f t="shared" si="14"/>
        <v xml:space="preserve">ROSSI RESID -ON  </v>
      </c>
      <c r="R82" s="51">
        <f t="shared" si="15"/>
        <v>41705</v>
      </c>
      <c r="S82" s="5">
        <f t="shared" si="16"/>
        <v>1.65</v>
      </c>
      <c r="T82" s="5">
        <f t="shared" si="17"/>
        <v>1.62</v>
      </c>
      <c r="U82" s="5">
        <f t="shared" si="18"/>
        <v>1.68</v>
      </c>
      <c r="V82" s="5">
        <f t="shared" si="19"/>
        <v>1.62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1100</v>
      </c>
      <c r="D83" s="3" t="s">
        <v>426</v>
      </c>
      <c r="E83" s="3" t="s">
        <v>714</v>
      </c>
      <c r="F83" s="3" t="s">
        <v>714</v>
      </c>
      <c r="G83" s="3" t="s">
        <v>714</v>
      </c>
      <c r="H83" s="51">
        <v>41705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1090</v>
      </c>
      <c r="Q83" s="10" t="str">
        <f t="shared" si="14"/>
        <v>SERGEN      -ON *</v>
      </c>
      <c r="R83" s="51">
        <f t="shared" si="15"/>
        <v>41705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1101</v>
      </c>
      <c r="D84" s="3" t="s">
        <v>426</v>
      </c>
      <c r="E84" s="3" t="s">
        <v>910</v>
      </c>
      <c r="F84" s="3" t="s">
        <v>910</v>
      </c>
      <c r="G84" s="3" t="s">
        <v>910</v>
      </c>
      <c r="H84" s="51">
        <v>41705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1091</v>
      </c>
      <c r="Q84" s="10" t="str">
        <f t="shared" si="14"/>
        <v>SERGEN      -PN *</v>
      </c>
      <c r="R84" s="51">
        <f t="shared" si="15"/>
        <v>41705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980</v>
      </c>
      <c r="D85" s="3" t="s">
        <v>1441</v>
      </c>
      <c r="E85" s="3" t="s">
        <v>1550</v>
      </c>
      <c r="F85" s="3" t="s">
        <v>1970</v>
      </c>
      <c r="G85" s="3" t="s">
        <v>1550</v>
      </c>
      <c r="H85" s="51">
        <v>41705</v>
      </c>
      <c r="J85" s="3">
        <f t="shared" si="20"/>
        <v>1.37</v>
      </c>
      <c r="K85" s="3">
        <f t="shared" si="20"/>
        <v>1.35</v>
      </c>
      <c r="L85" s="3">
        <f t="shared" si="20"/>
        <v>1.42</v>
      </c>
      <c r="M85" s="3">
        <f t="shared" si="20"/>
        <v>1.35</v>
      </c>
      <c r="P85" s="14" t="s">
        <v>979</v>
      </c>
      <c r="Q85" s="10" t="str">
        <f t="shared" si="14"/>
        <v xml:space="preserve">SPRINGS     -ON  </v>
      </c>
      <c r="R85" s="51">
        <f t="shared" si="15"/>
        <v>41705</v>
      </c>
      <c r="S85" s="5">
        <f t="shared" si="16"/>
        <v>1.37</v>
      </c>
      <c r="T85" s="5">
        <f t="shared" si="17"/>
        <v>1.35</v>
      </c>
      <c r="U85" s="5">
        <f t="shared" si="18"/>
        <v>1.42</v>
      </c>
      <c r="V85" s="5">
        <f t="shared" si="19"/>
        <v>1.35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861</v>
      </c>
      <c r="D86" s="3" t="s">
        <v>1454</v>
      </c>
      <c r="E86" s="3" t="s">
        <v>1980</v>
      </c>
      <c r="F86" s="3" t="s">
        <v>1454</v>
      </c>
      <c r="G86" s="3" t="s">
        <v>1458</v>
      </c>
      <c r="H86" s="51">
        <v>41705</v>
      </c>
      <c r="J86" s="3">
        <f t="shared" si="20"/>
        <v>4.67</v>
      </c>
      <c r="K86" s="3">
        <f t="shared" si="20"/>
        <v>4.54</v>
      </c>
      <c r="L86" s="3">
        <f t="shared" si="20"/>
        <v>4.67</v>
      </c>
      <c r="M86" s="3">
        <f t="shared" si="20"/>
        <v>4.46</v>
      </c>
      <c r="P86" s="14" t="s">
        <v>860</v>
      </c>
      <c r="Q86" s="10" t="str">
        <f t="shared" si="14"/>
        <v xml:space="preserve">TIME FOR FUN-ON  </v>
      </c>
      <c r="R86" s="51">
        <f t="shared" si="15"/>
        <v>41705</v>
      </c>
      <c r="S86" s="5">
        <f t="shared" si="16"/>
        <v>4.67</v>
      </c>
      <c r="T86" s="5">
        <f t="shared" si="17"/>
        <v>4.54</v>
      </c>
      <c r="U86" s="5">
        <f t="shared" si="18"/>
        <v>4.67</v>
      </c>
      <c r="V86" s="5">
        <f t="shared" si="19"/>
        <v>4.46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847</v>
      </c>
      <c r="D87" s="3" t="s">
        <v>1632</v>
      </c>
      <c r="E87" s="3" t="s">
        <v>1461</v>
      </c>
      <c r="F87" s="3" t="s">
        <v>1981</v>
      </c>
      <c r="G87" s="3" t="s">
        <v>1494</v>
      </c>
      <c r="H87" s="51">
        <v>41705</v>
      </c>
      <c r="J87" s="3">
        <f t="shared" si="20"/>
        <v>17.57</v>
      </c>
      <c r="K87" s="3">
        <f t="shared" si="20"/>
        <v>17.399999999999999</v>
      </c>
      <c r="L87" s="3">
        <f t="shared" si="20"/>
        <v>17.87</v>
      </c>
      <c r="M87" s="3">
        <f t="shared" si="20"/>
        <v>17.28</v>
      </c>
      <c r="P87" s="14" t="s">
        <v>846</v>
      </c>
      <c r="Q87" s="10" t="str">
        <f t="shared" si="14"/>
        <v xml:space="preserve">SLC AGRICOLA-ON  </v>
      </c>
      <c r="R87" s="51">
        <f t="shared" si="15"/>
        <v>41705</v>
      </c>
      <c r="S87" s="5">
        <f t="shared" si="16"/>
        <v>17.57</v>
      </c>
      <c r="T87" s="5">
        <f t="shared" si="17"/>
        <v>17.399999999999999</v>
      </c>
      <c r="U87" s="5">
        <f t="shared" si="18"/>
        <v>17.87</v>
      </c>
      <c r="V87" s="5">
        <f t="shared" si="19"/>
        <v>17.28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1020</v>
      </c>
      <c r="D88" s="3" t="s">
        <v>1442</v>
      </c>
      <c r="E88" s="3" t="s">
        <v>1442</v>
      </c>
      <c r="F88" s="3" t="s">
        <v>1442</v>
      </c>
      <c r="G88" s="3" t="s">
        <v>1442</v>
      </c>
      <c r="H88" s="51">
        <v>41705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1018</v>
      </c>
      <c r="Q88" s="10" t="str">
        <f t="shared" si="14"/>
        <v xml:space="preserve">SARAIVA LIVR-ON  </v>
      </c>
      <c r="R88" s="51">
        <f t="shared" si="15"/>
        <v>41705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1021</v>
      </c>
      <c r="D89" s="3" t="s">
        <v>1859</v>
      </c>
      <c r="E89" s="3" t="s">
        <v>1982</v>
      </c>
      <c r="F89" s="3" t="s">
        <v>1443</v>
      </c>
      <c r="G89" s="3" t="s">
        <v>1983</v>
      </c>
      <c r="H89" s="51">
        <v>41705</v>
      </c>
      <c r="J89" s="3">
        <f t="shared" si="20"/>
        <v>20.85</v>
      </c>
      <c r="K89" s="3">
        <f t="shared" si="20"/>
        <v>21.27</v>
      </c>
      <c r="L89" s="3">
        <f t="shared" si="20"/>
        <v>21.3</v>
      </c>
      <c r="M89" s="3">
        <f t="shared" si="20"/>
        <v>20.66</v>
      </c>
      <c r="P89" s="14" t="s">
        <v>1019</v>
      </c>
      <c r="Q89" s="10" t="str">
        <f t="shared" si="14"/>
        <v xml:space="preserve">SARAIVA LIVR-PN  </v>
      </c>
      <c r="R89" s="51">
        <f t="shared" si="15"/>
        <v>41705</v>
      </c>
      <c r="S89" s="5">
        <f t="shared" si="16"/>
        <v>20.85</v>
      </c>
      <c r="T89" s="5">
        <f t="shared" si="17"/>
        <v>21.27</v>
      </c>
      <c r="U89" s="5">
        <f t="shared" si="18"/>
        <v>21.3</v>
      </c>
      <c r="V89" s="5">
        <f t="shared" si="19"/>
        <v>20.66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264</v>
      </c>
      <c r="D90" s="3" t="s">
        <v>1752</v>
      </c>
      <c r="E90" s="3" t="s">
        <v>1753</v>
      </c>
      <c r="F90" s="3" t="s">
        <v>1752</v>
      </c>
      <c r="G90" s="3" t="s">
        <v>1753</v>
      </c>
      <c r="H90" s="51">
        <v>41705</v>
      </c>
      <c r="J90" s="3">
        <f t="shared" si="20"/>
        <v>30.29</v>
      </c>
      <c r="K90" s="3">
        <f t="shared" si="20"/>
        <v>29.53</v>
      </c>
      <c r="L90" s="3">
        <f t="shared" si="20"/>
        <v>30.29</v>
      </c>
      <c r="M90" s="3">
        <f t="shared" si="20"/>
        <v>29.53</v>
      </c>
      <c r="P90" s="14" t="s">
        <v>263</v>
      </c>
      <c r="Q90" s="10" t="str">
        <f t="shared" si="14"/>
        <v xml:space="preserve">SAO MARTINHO-ON  </v>
      </c>
      <c r="R90" s="46">
        <f t="shared" si="15"/>
        <v>41705</v>
      </c>
      <c r="S90" s="6">
        <f t="shared" si="16"/>
        <v>30.29</v>
      </c>
      <c r="T90" s="6">
        <f t="shared" si="17"/>
        <v>29.53</v>
      </c>
      <c r="U90" s="6">
        <f t="shared" si="18"/>
        <v>30.29</v>
      </c>
      <c r="V90" s="6">
        <f t="shared" si="19"/>
        <v>29.53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1056</v>
      </c>
      <c r="D91" s="3" t="s">
        <v>1058</v>
      </c>
      <c r="E91" s="3" t="s">
        <v>1347</v>
      </c>
      <c r="F91" s="3" t="s">
        <v>1347</v>
      </c>
      <c r="G91" s="3" t="s">
        <v>1058</v>
      </c>
      <c r="H91" s="51">
        <v>41705</v>
      </c>
      <c r="J91" s="3">
        <f t="shared" si="20"/>
        <v>0.36</v>
      </c>
      <c r="K91" s="3">
        <f t="shared" si="20"/>
        <v>0.38</v>
      </c>
      <c r="L91" s="3">
        <f t="shared" si="20"/>
        <v>0.38</v>
      </c>
      <c r="M91" s="3">
        <f t="shared" si="20"/>
        <v>0.36</v>
      </c>
      <c r="P91" s="15" t="s">
        <v>1053</v>
      </c>
      <c r="Q91" s="10" t="str">
        <f t="shared" si="14"/>
        <v>SPRINGER    -ON</v>
      </c>
      <c r="R91" s="51">
        <f t="shared" si="15"/>
        <v>41705</v>
      </c>
      <c r="S91" s="5">
        <f t="shared" si="16"/>
        <v>0.36</v>
      </c>
      <c r="T91" s="5">
        <f t="shared" si="17"/>
        <v>0.38</v>
      </c>
      <c r="U91" s="5">
        <f t="shared" si="18"/>
        <v>0.38</v>
      </c>
      <c r="V91" s="5">
        <f t="shared" si="19"/>
        <v>0.36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1057</v>
      </c>
      <c r="D92" s="3" t="s">
        <v>1058</v>
      </c>
      <c r="E92" s="3" t="s">
        <v>1058</v>
      </c>
      <c r="F92" s="3" t="s">
        <v>1058</v>
      </c>
      <c r="G92" s="3" t="s">
        <v>1058</v>
      </c>
      <c r="H92" s="51">
        <v>41705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1054</v>
      </c>
      <c r="Q92" s="10" t="str">
        <f t="shared" si="14"/>
        <v>SPRINGER    -PNA</v>
      </c>
      <c r="R92" s="51">
        <f t="shared" si="15"/>
        <v>41705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1059</v>
      </c>
      <c r="D93" s="3" t="s">
        <v>1444</v>
      </c>
      <c r="E93" s="3" t="s">
        <v>1444</v>
      </c>
      <c r="F93" s="3" t="s">
        <v>1444</v>
      </c>
      <c r="G93" s="3" t="s">
        <v>1444</v>
      </c>
      <c r="H93" s="51">
        <v>41705</v>
      </c>
      <c r="J93" s="3">
        <f t="shared" si="20"/>
        <v>0.37</v>
      </c>
      <c r="K93" s="3">
        <f t="shared" si="20"/>
        <v>0.37</v>
      </c>
      <c r="L93" s="3">
        <f t="shared" si="20"/>
        <v>0.37</v>
      </c>
      <c r="M93" s="3">
        <f t="shared" si="20"/>
        <v>0.37</v>
      </c>
      <c r="P93" s="10" t="s">
        <v>1055</v>
      </c>
      <c r="Q93" s="10" t="str">
        <f t="shared" si="14"/>
        <v>SPRINGER    -PNB</v>
      </c>
      <c r="R93" s="51">
        <f t="shared" si="15"/>
        <v>41705</v>
      </c>
      <c r="S93" s="5">
        <f t="shared" si="16"/>
        <v>0.37</v>
      </c>
      <c r="T93" s="5">
        <f t="shared" si="17"/>
        <v>0.37</v>
      </c>
      <c r="U93" s="5">
        <f t="shared" si="18"/>
        <v>0.37</v>
      </c>
      <c r="V93" s="5">
        <f t="shared" si="19"/>
        <v>0.37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1102</v>
      </c>
      <c r="D94" s="3" t="s">
        <v>1984</v>
      </c>
      <c r="E94" s="3" t="s">
        <v>1985</v>
      </c>
      <c r="F94" s="3" t="s">
        <v>1731</v>
      </c>
      <c r="G94" s="3" t="s">
        <v>1986</v>
      </c>
      <c r="H94" s="51">
        <v>41705</v>
      </c>
      <c r="J94" s="3">
        <f t="shared" si="20"/>
        <v>7.47</v>
      </c>
      <c r="K94" s="3">
        <f t="shared" si="20"/>
        <v>7.46</v>
      </c>
      <c r="L94" s="3">
        <f t="shared" si="20"/>
        <v>7.61</v>
      </c>
      <c r="M94" s="3">
        <f t="shared" si="20"/>
        <v>7.41</v>
      </c>
      <c r="P94" s="14" t="s">
        <v>1092</v>
      </c>
      <c r="Q94" s="10" t="str">
        <f t="shared" si="14"/>
        <v xml:space="preserve">TECNISA     -ON  </v>
      </c>
      <c r="R94" s="51">
        <f t="shared" si="15"/>
        <v>41705</v>
      </c>
      <c r="S94" s="5">
        <f t="shared" si="16"/>
        <v>7.47</v>
      </c>
      <c r="T94" s="5">
        <f t="shared" si="17"/>
        <v>7.46</v>
      </c>
      <c r="U94" s="5">
        <f t="shared" si="18"/>
        <v>7.61</v>
      </c>
      <c r="V94" s="5">
        <f t="shared" si="19"/>
        <v>7.41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1005</v>
      </c>
      <c r="D95" s="3" t="s">
        <v>1987</v>
      </c>
      <c r="E95" s="3" t="s">
        <v>1988</v>
      </c>
      <c r="F95" s="3" t="s">
        <v>1989</v>
      </c>
      <c r="G95" s="3" t="s">
        <v>1987</v>
      </c>
      <c r="H95" s="51">
        <v>41705</v>
      </c>
      <c r="J95" s="3">
        <f t="shared" si="20"/>
        <v>14.08</v>
      </c>
      <c r="K95" s="3">
        <f t="shared" si="20"/>
        <v>14.36</v>
      </c>
      <c r="L95" s="3">
        <f t="shared" si="20"/>
        <v>14.61</v>
      </c>
      <c r="M95" s="3">
        <f t="shared" si="20"/>
        <v>14.08</v>
      </c>
      <c r="P95" s="14" t="s">
        <v>1003</v>
      </c>
      <c r="Q95" s="10" t="str">
        <f t="shared" si="14"/>
        <v xml:space="preserve">TECHNOS     -ON  </v>
      </c>
      <c r="R95" s="51">
        <f t="shared" si="15"/>
        <v>41705</v>
      </c>
      <c r="S95" s="5">
        <f t="shared" si="16"/>
        <v>14.08</v>
      </c>
      <c r="T95" s="5">
        <f t="shared" si="17"/>
        <v>14.36</v>
      </c>
      <c r="U95" s="5">
        <f t="shared" si="18"/>
        <v>14.61</v>
      </c>
      <c r="V95" s="5">
        <f t="shared" si="19"/>
        <v>14.08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985</v>
      </c>
      <c r="D96" s="3" t="s">
        <v>426</v>
      </c>
      <c r="E96" s="3" t="s">
        <v>427</v>
      </c>
      <c r="F96" s="3" t="s">
        <v>426</v>
      </c>
      <c r="G96" s="3" t="s">
        <v>426</v>
      </c>
      <c r="H96" s="51" t="s">
        <v>426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981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986</v>
      </c>
      <c r="D97" s="3" t="s">
        <v>426</v>
      </c>
      <c r="E97" s="3" t="s">
        <v>919</v>
      </c>
      <c r="F97" s="3" t="s">
        <v>919</v>
      </c>
      <c r="G97" s="3" t="s">
        <v>919</v>
      </c>
      <c r="H97" s="51">
        <v>41705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982</v>
      </c>
      <c r="Q97" s="10" t="str">
        <f t="shared" si="14"/>
        <v>TEC BLUMENAU-PNA</v>
      </c>
      <c r="R97" s="51">
        <f t="shared" si="15"/>
        <v>41705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987</v>
      </c>
      <c r="D98" s="3" t="s">
        <v>426</v>
      </c>
      <c r="E98" s="3" t="s">
        <v>427</v>
      </c>
      <c r="F98" s="3" t="s">
        <v>426</v>
      </c>
      <c r="G98" s="3" t="s">
        <v>426</v>
      </c>
      <c r="H98" s="51" t="s">
        <v>426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983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988</v>
      </c>
      <c r="D99" s="3" t="s">
        <v>426</v>
      </c>
      <c r="E99" s="3" t="s">
        <v>989</v>
      </c>
      <c r="F99" s="3" t="s">
        <v>989</v>
      </c>
      <c r="G99" s="3" t="s">
        <v>989</v>
      </c>
      <c r="H99" s="51">
        <v>41705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984</v>
      </c>
      <c r="Q99" s="10" t="str">
        <f t="shared" si="14"/>
        <v>TEC BLUMENAU-PNC</v>
      </c>
      <c r="R99" s="51">
        <f t="shared" si="15"/>
        <v>41705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928</v>
      </c>
      <c r="D100" s="3" t="s">
        <v>929</v>
      </c>
      <c r="E100" s="3" t="s">
        <v>929</v>
      </c>
      <c r="F100" s="3" t="s">
        <v>929</v>
      </c>
      <c r="G100" s="3" t="s">
        <v>929</v>
      </c>
      <c r="H100" s="51">
        <v>41705</v>
      </c>
      <c r="J100" s="3">
        <f t="shared" si="20"/>
        <v>0.02</v>
      </c>
      <c r="K100" s="3">
        <f t="shared" si="20"/>
        <v>0.02</v>
      </c>
      <c r="L100" s="3">
        <f t="shared" si="20"/>
        <v>0.02</v>
      </c>
      <c r="M100" s="3">
        <f t="shared" si="20"/>
        <v>0.02</v>
      </c>
      <c r="P100" s="14" t="s">
        <v>926</v>
      </c>
      <c r="Q100" s="10" t="str">
        <f t="shared" si="14"/>
        <v>TECTOY      -ON *</v>
      </c>
      <c r="R100" s="51">
        <f t="shared" si="15"/>
        <v>41705</v>
      </c>
      <c r="S100" s="5">
        <f t="shared" si="16"/>
        <v>0.02</v>
      </c>
      <c r="T100" s="5">
        <f t="shared" si="17"/>
        <v>0.02</v>
      </c>
      <c r="U100" s="5">
        <f t="shared" si="18"/>
        <v>0.02</v>
      </c>
      <c r="V100" s="5">
        <f t="shared" si="19"/>
        <v>0.02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930</v>
      </c>
      <c r="D101" s="3" t="s">
        <v>931</v>
      </c>
      <c r="E101" s="3" t="s">
        <v>931</v>
      </c>
      <c r="F101" s="3" t="s">
        <v>931</v>
      </c>
      <c r="G101" s="3" t="s">
        <v>931</v>
      </c>
      <c r="H101" s="51">
        <v>41705</v>
      </c>
      <c r="J101" s="3">
        <f t="shared" si="20"/>
        <v>0.01</v>
      </c>
      <c r="K101" s="3">
        <f t="shared" si="20"/>
        <v>0.01</v>
      </c>
      <c r="L101" s="3">
        <f t="shared" si="20"/>
        <v>0.01</v>
      </c>
      <c r="M101" s="3">
        <f t="shared" si="20"/>
        <v>0.01</v>
      </c>
      <c r="P101" s="15" t="s">
        <v>927</v>
      </c>
      <c r="Q101" s="10" t="str">
        <f t="shared" si="14"/>
        <v>TECTOY      -PN *</v>
      </c>
      <c r="R101" s="51">
        <f t="shared" si="15"/>
        <v>41705</v>
      </c>
      <c r="S101" s="5">
        <f t="shared" si="16"/>
        <v>0.01</v>
      </c>
      <c r="T101" s="5">
        <f t="shared" si="17"/>
        <v>0.01</v>
      </c>
      <c r="U101" s="5">
        <f t="shared" si="18"/>
        <v>0.01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1103</v>
      </c>
      <c r="D102" s="3" t="s">
        <v>1990</v>
      </c>
      <c r="E102" s="3" t="s">
        <v>1376</v>
      </c>
      <c r="F102" s="3" t="s">
        <v>1990</v>
      </c>
      <c r="G102" s="3" t="s">
        <v>1376</v>
      </c>
      <c r="H102" s="51">
        <v>41705</v>
      </c>
      <c r="J102" s="3">
        <f t="shared" si="20"/>
        <v>3.9</v>
      </c>
      <c r="K102" s="3">
        <f t="shared" si="20"/>
        <v>3.79</v>
      </c>
      <c r="L102" s="3">
        <f t="shared" si="20"/>
        <v>3.9</v>
      </c>
      <c r="M102" s="3">
        <f t="shared" si="20"/>
        <v>3.79</v>
      </c>
      <c r="P102" s="15" t="s">
        <v>1093</v>
      </c>
      <c r="Q102" s="10" t="str">
        <f t="shared" si="14"/>
        <v xml:space="preserve">TRISUL      -ON  </v>
      </c>
      <c r="R102" s="51">
        <f t="shared" si="15"/>
        <v>41705</v>
      </c>
      <c r="S102" s="5">
        <f t="shared" si="16"/>
        <v>3.9</v>
      </c>
      <c r="T102" s="5">
        <f t="shared" si="17"/>
        <v>3.79</v>
      </c>
      <c r="U102" s="5">
        <f t="shared" si="18"/>
        <v>3.9</v>
      </c>
      <c r="V102" s="5">
        <f t="shared" si="19"/>
        <v>3.79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867</v>
      </c>
      <c r="D103" s="3" t="s">
        <v>1991</v>
      </c>
      <c r="E103" s="3" t="s">
        <v>1992</v>
      </c>
      <c r="F103" s="3" t="s">
        <v>1991</v>
      </c>
      <c r="G103" s="3" t="s">
        <v>1457</v>
      </c>
      <c r="H103" s="51">
        <v>41705</v>
      </c>
      <c r="J103" s="3">
        <f t="shared" si="20"/>
        <v>4.57</v>
      </c>
      <c r="K103" s="3">
        <f t="shared" si="20"/>
        <v>4.38</v>
      </c>
      <c r="L103" s="3">
        <f t="shared" si="20"/>
        <v>4.57</v>
      </c>
      <c r="M103" s="3">
        <f t="shared" si="20"/>
        <v>4.41</v>
      </c>
      <c r="P103" s="14" t="s">
        <v>866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41705</v>
      </c>
      <c r="S103" s="5">
        <f t="shared" ref="S103:S112" si="23">J103</f>
        <v>4.57</v>
      </c>
      <c r="T103" s="5">
        <f t="shared" ref="T103:T112" si="24">K103</f>
        <v>4.38</v>
      </c>
      <c r="U103" s="5">
        <f t="shared" ref="U103:U112" si="25">L103</f>
        <v>4.57</v>
      </c>
      <c r="V103" s="5">
        <f t="shared" ref="V103:V112" si="26">M103</f>
        <v>4.41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843</v>
      </c>
      <c r="D104" s="3" t="s">
        <v>1554</v>
      </c>
      <c r="E104" s="3" t="s">
        <v>1521</v>
      </c>
      <c r="F104" s="3" t="s">
        <v>1993</v>
      </c>
      <c r="G104" s="3" t="s">
        <v>1522</v>
      </c>
      <c r="H104" s="51">
        <v>41705</v>
      </c>
      <c r="J104" s="3">
        <f t="shared" si="20"/>
        <v>3.05</v>
      </c>
      <c r="K104" s="3">
        <f t="shared" si="20"/>
        <v>3.03</v>
      </c>
      <c r="L104" s="3">
        <f t="shared" si="20"/>
        <v>3.07</v>
      </c>
      <c r="M104" s="3">
        <f t="shared" si="20"/>
        <v>2.97</v>
      </c>
      <c r="P104" s="15" t="s">
        <v>841</v>
      </c>
      <c r="Q104" s="10" t="str">
        <f t="shared" si="21"/>
        <v xml:space="preserve">V-AGRO      -ON  </v>
      </c>
      <c r="R104" s="51">
        <f t="shared" si="22"/>
        <v>41705</v>
      </c>
      <c r="S104" s="5">
        <f t="shared" si="23"/>
        <v>3.05</v>
      </c>
      <c r="T104" s="5">
        <f t="shared" si="24"/>
        <v>3.03</v>
      </c>
      <c r="U104" s="5">
        <f t="shared" si="25"/>
        <v>3.07</v>
      </c>
      <c r="V104" s="5">
        <f t="shared" si="26"/>
        <v>2.97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1104</v>
      </c>
      <c r="D105" s="3" t="s">
        <v>517</v>
      </c>
      <c r="E105" s="3" t="s">
        <v>517</v>
      </c>
      <c r="F105" s="3" t="s">
        <v>517</v>
      </c>
      <c r="G105" s="3" t="s">
        <v>1976</v>
      </c>
      <c r="H105" s="51">
        <v>41705</v>
      </c>
      <c r="J105" s="3">
        <f t="shared" si="20"/>
        <v>0.18</v>
      </c>
      <c r="K105" s="3">
        <f t="shared" si="20"/>
        <v>0.18</v>
      </c>
      <c r="L105" s="3">
        <f t="shared" si="20"/>
        <v>0.18</v>
      </c>
      <c r="M105" s="3">
        <f t="shared" si="20"/>
        <v>0.17</v>
      </c>
      <c r="P105" s="14" t="s">
        <v>1094</v>
      </c>
      <c r="Q105" s="10" t="str">
        <f t="shared" si="21"/>
        <v xml:space="preserve">VIVER       -ON  </v>
      </c>
      <c r="R105" s="51">
        <f t="shared" si="22"/>
        <v>41705</v>
      </c>
      <c r="S105" s="5">
        <f t="shared" si="23"/>
        <v>0.18</v>
      </c>
      <c r="T105" s="5">
        <f t="shared" si="24"/>
        <v>0.18</v>
      </c>
      <c r="U105" s="5">
        <f t="shared" si="25"/>
        <v>0.18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882</v>
      </c>
      <c r="D106" s="3" t="s">
        <v>1994</v>
      </c>
      <c r="E106" s="3" t="s">
        <v>1995</v>
      </c>
      <c r="F106" s="3" t="s">
        <v>1994</v>
      </c>
      <c r="G106" s="3" t="s">
        <v>1996</v>
      </c>
      <c r="H106" s="51">
        <v>41705</v>
      </c>
      <c r="J106" s="3">
        <f t="shared" si="20"/>
        <v>24.29</v>
      </c>
      <c r="K106" s="3">
        <f t="shared" si="20"/>
        <v>23.55</v>
      </c>
      <c r="L106" s="3">
        <f t="shared" si="20"/>
        <v>24.29</v>
      </c>
      <c r="M106" s="3">
        <f t="shared" si="20"/>
        <v>23.44</v>
      </c>
      <c r="P106" s="15" t="s">
        <v>879</v>
      </c>
      <c r="Q106" s="10" t="str">
        <f t="shared" si="21"/>
        <v xml:space="preserve">VIAVAREJO   -UNT </v>
      </c>
      <c r="R106" s="51">
        <f t="shared" si="22"/>
        <v>41705</v>
      </c>
      <c r="S106" s="5">
        <f t="shared" si="23"/>
        <v>24.29</v>
      </c>
      <c r="T106" s="5">
        <f t="shared" si="24"/>
        <v>23.55</v>
      </c>
      <c r="U106" s="5">
        <f t="shared" si="25"/>
        <v>24.29</v>
      </c>
      <c r="V106" s="5">
        <f t="shared" si="26"/>
        <v>23.44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883</v>
      </c>
      <c r="D107" s="3" t="s">
        <v>1997</v>
      </c>
      <c r="E107" s="3" t="s">
        <v>1546</v>
      </c>
      <c r="F107" s="3" t="s">
        <v>1997</v>
      </c>
      <c r="G107" s="3" t="s">
        <v>1546</v>
      </c>
      <c r="H107" s="51">
        <v>41705</v>
      </c>
      <c r="J107" s="3">
        <f t="shared" si="20"/>
        <v>6.12</v>
      </c>
      <c r="K107" s="3">
        <f t="shared" si="20"/>
        <v>6</v>
      </c>
      <c r="L107" s="3">
        <f t="shared" si="20"/>
        <v>6.12</v>
      </c>
      <c r="M107" s="3">
        <f t="shared" si="20"/>
        <v>6</v>
      </c>
      <c r="P107" s="14" t="s">
        <v>880</v>
      </c>
      <c r="Q107" s="10" t="str">
        <f t="shared" si="21"/>
        <v xml:space="preserve">VIAVAREJO   -ON  </v>
      </c>
      <c r="R107" s="51">
        <f t="shared" si="22"/>
        <v>41705</v>
      </c>
      <c r="S107" s="5">
        <f t="shared" si="23"/>
        <v>6.12</v>
      </c>
      <c r="T107" s="5">
        <f t="shared" si="24"/>
        <v>6</v>
      </c>
      <c r="U107" s="5">
        <f t="shared" si="25"/>
        <v>6.12</v>
      </c>
      <c r="V107" s="5">
        <f t="shared" si="26"/>
        <v>6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884</v>
      </c>
      <c r="D108" s="3" t="s">
        <v>426</v>
      </c>
      <c r="E108" s="3" t="s">
        <v>427</v>
      </c>
      <c r="F108" s="3" t="s">
        <v>426</v>
      </c>
      <c r="G108" s="3" t="s">
        <v>426</v>
      </c>
      <c r="H108" s="51" t="s">
        <v>426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881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871</v>
      </c>
      <c r="D109" s="3" t="s">
        <v>1998</v>
      </c>
      <c r="E109" s="3" t="s">
        <v>1999</v>
      </c>
      <c r="F109" s="3" t="s">
        <v>1999</v>
      </c>
      <c r="G109" s="3" t="s">
        <v>1738</v>
      </c>
      <c r="H109" s="51">
        <v>41705</v>
      </c>
      <c r="J109" s="3">
        <f t="shared" si="20"/>
        <v>3.82</v>
      </c>
      <c r="K109" s="3">
        <f t="shared" si="20"/>
        <v>3.84</v>
      </c>
      <c r="L109" s="3">
        <f t="shared" si="20"/>
        <v>3.84</v>
      </c>
      <c r="M109" s="3">
        <f t="shared" si="20"/>
        <v>3.8</v>
      </c>
      <c r="P109" s="15" t="s">
        <v>869</v>
      </c>
      <c r="Q109" s="10" t="str">
        <f t="shared" si="21"/>
        <v>WHIRLPOOL   -ON</v>
      </c>
      <c r="R109" s="51">
        <f t="shared" si="22"/>
        <v>41705</v>
      </c>
      <c r="S109" s="5">
        <f t="shared" si="23"/>
        <v>3.82</v>
      </c>
      <c r="T109" s="5">
        <f t="shared" si="24"/>
        <v>3.84</v>
      </c>
      <c r="U109" s="5">
        <f t="shared" si="25"/>
        <v>3.84</v>
      </c>
      <c r="V109" s="5">
        <f t="shared" si="26"/>
        <v>3.8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872</v>
      </c>
      <c r="D110" s="3" t="s">
        <v>2000</v>
      </c>
      <c r="E110" s="3" t="s">
        <v>1556</v>
      </c>
      <c r="F110" s="3" t="s">
        <v>1556</v>
      </c>
      <c r="G110" s="3" t="s">
        <v>2000</v>
      </c>
      <c r="H110" s="51">
        <v>41705</v>
      </c>
      <c r="J110" s="3">
        <f t="shared" si="20"/>
        <v>4.04</v>
      </c>
      <c r="K110" s="3">
        <f t="shared" si="20"/>
        <v>4.0999999999999996</v>
      </c>
      <c r="L110" s="3">
        <f t="shared" si="20"/>
        <v>4.0999999999999996</v>
      </c>
      <c r="M110" s="3">
        <f t="shared" si="20"/>
        <v>4.04</v>
      </c>
      <c r="P110" s="10" t="s">
        <v>870</v>
      </c>
      <c r="Q110" s="10" t="str">
        <f t="shared" si="21"/>
        <v>WHIRLPOOL   -PN</v>
      </c>
      <c r="R110" s="51">
        <f t="shared" si="22"/>
        <v>41705</v>
      </c>
      <c r="S110" s="5">
        <f t="shared" si="23"/>
        <v>4.04</v>
      </c>
      <c r="T110" s="5">
        <f t="shared" si="24"/>
        <v>4.0999999999999996</v>
      </c>
      <c r="U110" s="5">
        <f t="shared" si="25"/>
        <v>4.0999999999999996</v>
      </c>
      <c r="V110" s="5">
        <f t="shared" si="26"/>
        <v>4.04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977</v>
      </c>
      <c r="D111" s="3" t="s">
        <v>426</v>
      </c>
      <c r="E111" s="3" t="s">
        <v>978</v>
      </c>
      <c r="F111" s="3" t="s">
        <v>978</v>
      </c>
      <c r="G111" s="3" t="s">
        <v>978</v>
      </c>
      <c r="H111" s="51">
        <v>41705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976</v>
      </c>
      <c r="Q111" s="10" t="str">
        <f t="shared" si="21"/>
        <v>WEMBLEY     -ON</v>
      </c>
      <c r="R111" s="51">
        <f t="shared" si="22"/>
        <v>41705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2001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1114</v>
      </c>
      <c r="D7" s="3" t="s">
        <v>426</v>
      </c>
      <c r="E7" s="3" t="s">
        <v>1115</v>
      </c>
      <c r="F7" s="3" t="s">
        <v>1115</v>
      </c>
      <c r="G7" s="3" t="s">
        <v>1115</v>
      </c>
      <c r="H7" s="51">
        <v>41705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1105</v>
      </c>
      <c r="Q7" s="10" t="str">
        <f t="shared" ref="Q7:Q38" si="1">IF(A7="","",C7)</f>
        <v>AZEVEDO     -ON</v>
      </c>
      <c r="R7" s="51">
        <f t="shared" ref="R7:R38" si="2">IF(A7="","",H7)</f>
        <v>41705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1116</v>
      </c>
      <c r="D8" s="3" t="s">
        <v>1346</v>
      </c>
      <c r="E8" s="3" t="s">
        <v>1455</v>
      </c>
      <c r="F8" s="3" t="s">
        <v>1346</v>
      </c>
      <c r="G8" s="3" t="s">
        <v>1455</v>
      </c>
      <c r="H8" s="51">
        <v>41705</v>
      </c>
      <c r="J8" s="3">
        <f t="shared" ref="J8:M71" si="7">IF($A8="",0,VALUE(CONCATENATE(LEFT(D8,LEN(D8)-3),",",RIGHT(D8,2))))</f>
        <v>1.48</v>
      </c>
      <c r="K8" s="3">
        <f t="shared" si="0"/>
        <v>1.47</v>
      </c>
      <c r="L8" s="3">
        <f t="shared" si="0"/>
        <v>1.48</v>
      </c>
      <c r="M8" s="3">
        <f t="shared" si="0"/>
        <v>1.47</v>
      </c>
      <c r="P8" s="15" t="s">
        <v>1106</v>
      </c>
      <c r="Q8" s="10" t="str">
        <f t="shared" si="1"/>
        <v>AZEVEDO     -PN</v>
      </c>
      <c r="R8" s="51">
        <f t="shared" si="2"/>
        <v>41705</v>
      </c>
      <c r="S8" s="5">
        <f t="shared" si="3"/>
        <v>1.48</v>
      </c>
      <c r="T8" s="5">
        <f t="shared" si="4"/>
        <v>1.47</v>
      </c>
      <c r="U8" s="5">
        <f t="shared" si="5"/>
        <v>1.48</v>
      </c>
      <c r="V8" s="5">
        <f t="shared" si="6"/>
        <v>1.47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1117</v>
      </c>
      <c r="D9" s="3" t="s">
        <v>664</v>
      </c>
      <c r="E9" s="3" t="s">
        <v>917</v>
      </c>
      <c r="F9" s="3" t="s">
        <v>664</v>
      </c>
      <c r="G9" s="3" t="s">
        <v>917</v>
      </c>
      <c r="H9" s="51">
        <v>41705</v>
      </c>
      <c r="J9" s="3">
        <f t="shared" si="7"/>
        <v>3</v>
      </c>
      <c r="K9" s="3">
        <f t="shared" si="0"/>
        <v>2.75</v>
      </c>
      <c r="L9" s="3">
        <f t="shared" si="0"/>
        <v>3</v>
      </c>
      <c r="M9" s="3">
        <f t="shared" si="0"/>
        <v>2.75</v>
      </c>
      <c r="P9" s="14" t="s">
        <v>1107</v>
      </c>
      <c r="Q9" s="10" t="str">
        <f t="shared" si="1"/>
        <v>LIX DA CUNHA-ON</v>
      </c>
      <c r="R9" s="46">
        <f t="shared" si="2"/>
        <v>41705</v>
      </c>
      <c r="S9" s="6">
        <f t="shared" si="3"/>
        <v>3</v>
      </c>
      <c r="T9" s="6">
        <f t="shared" si="4"/>
        <v>2.75</v>
      </c>
      <c r="U9" s="6">
        <f t="shared" si="5"/>
        <v>3</v>
      </c>
      <c r="V9" s="6">
        <f t="shared" si="6"/>
        <v>2.75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1118</v>
      </c>
      <c r="D10" s="3" t="s">
        <v>2002</v>
      </c>
      <c r="E10" s="3" t="s">
        <v>2002</v>
      </c>
      <c r="F10" s="3" t="s">
        <v>2002</v>
      </c>
      <c r="G10" s="3" t="s">
        <v>2002</v>
      </c>
      <c r="H10" s="51">
        <v>41705</v>
      </c>
      <c r="J10" s="3">
        <f t="shared" si="7"/>
        <v>3.06</v>
      </c>
      <c r="K10" s="3">
        <f t="shared" si="0"/>
        <v>3.06</v>
      </c>
      <c r="L10" s="3">
        <f t="shared" si="0"/>
        <v>3.06</v>
      </c>
      <c r="M10" s="3">
        <f t="shared" si="0"/>
        <v>3.06</v>
      </c>
      <c r="P10" s="14" t="s">
        <v>1108</v>
      </c>
      <c r="Q10" s="10" t="str">
        <f t="shared" si="1"/>
        <v>LIX DA CUNHA-PN</v>
      </c>
      <c r="R10" s="51">
        <f t="shared" si="2"/>
        <v>41705</v>
      </c>
      <c r="S10" s="5">
        <f t="shared" si="3"/>
        <v>3.06</v>
      </c>
      <c r="T10" s="5">
        <f t="shared" si="4"/>
        <v>3.06</v>
      </c>
      <c r="U10" s="5">
        <f t="shared" si="5"/>
        <v>3.06</v>
      </c>
      <c r="V10" s="5">
        <f t="shared" si="6"/>
        <v>3.06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1122</v>
      </c>
      <c r="D11" s="3" t="s">
        <v>426</v>
      </c>
      <c r="E11" s="3" t="s">
        <v>427</v>
      </c>
      <c r="F11" s="3" t="s">
        <v>426</v>
      </c>
      <c r="G11" s="3" t="s">
        <v>426</v>
      </c>
      <c r="H11" s="51" t="s">
        <v>426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1111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1123</v>
      </c>
      <c r="D12" s="3" t="s">
        <v>713</v>
      </c>
      <c r="E12" s="3" t="s">
        <v>713</v>
      </c>
      <c r="F12" s="3" t="s">
        <v>713</v>
      </c>
      <c r="G12" s="3" t="s">
        <v>713</v>
      </c>
      <c r="H12" s="51">
        <v>41705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1112</v>
      </c>
      <c r="Q12" s="10" t="str">
        <f t="shared" si="1"/>
        <v>MENDES JR   -PNA</v>
      </c>
      <c r="R12" s="46">
        <f t="shared" si="2"/>
        <v>41705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1124</v>
      </c>
      <c r="D13" s="3" t="s">
        <v>426</v>
      </c>
      <c r="E13" s="3" t="s">
        <v>1125</v>
      </c>
      <c r="F13" s="3" t="s">
        <v>1125</v>
      </c>
      <c r="G13" s="3" t="s">
        <v>1125</v>
      </c>
      <c r="H13" s="51">
        <v>41705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1113</v>
      </c>
      <c r="Q13" s="10" t="str">
        <f t="shared" si="1"/>
        <v>MENDES JR   -PNB</v>
      </c>
      <c r="R13" s="51">
        <f t="shared" si="2"/>
        <v>41705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1119</v>
      </c>
      <c r="D14" s="3" t="s">
        <v>426</v>
      </c>
      <c r="E14" s="3" t="s">
        <v>1120</v>
      </c>
      <c r="F14" s="3" t="s">
        <v>1120</v>
      </c>
      <c r="G14" s="3" t="s">
        <v>1120</v>
      </c>
      <c r="H14" s="51">
        <v>41705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1109</v>
      </c>
      <c r="Q14" s="10" t="str">
        <f t="shared" si="1"/>
        <v>SULTEPA     -ON</v>
      </c>
      <c r="R14" s="51">
        <f t="shared" si="2"/>
        <v>41705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1121</v>
      </c>
      <c r="D15" s="3" t="s">
        <v>2003</v>
      </c>
      <c r="E15" s="3" t="s">
        <v>2003</v>
      </c>
      <c r="F15" s="3" t="s">
        <v>2003</v>
      </c>
      <c r="G15" s="3" t="s">
        <v>2003</v>
      </c>
      <c r="H15" s="51">
        <v>41705</v>
      </c>
      <c r="J15" s="3">
        <f t="shared" si="7"/>
        <v>1.07</v>
      </c>
      <c r="K15" s="3">
        <f t="shared" si="0"/>
        <v>1.07</v>
      </c>
      <c r="L15" s="3">
        <f t="shared" si="0"/>
        <v>1.07</v>
      </c>
      <c r="M15" s="3">
        <f t="shared" si="0"/>
        <v>1.07</v>
      </c>
      <c r="P15" s="14" t="s">
        <v>1110</v>
      </c>
      <c r="Q15" s="10" t="str">
        <f t="shared" si="1"/>
        <v>SULTEPA     -PN</v>
      </c>
      <c r="R15" s="51">
        <f t="shared" si="2"/>
        <v>41705</v>
      </c>
      <c r="S15" s="5">
        <f t="shared" si="3"/>
        <v>1.07</v>
      </c>
      <c r="T15" s="5">
        <f t="shared" si="4"/>
        <v>1.07</v>
      </c>
      <c r="U15" s="5">
        <f t="shared" si="5"/>
        <v>1.07</v>
      </c>
      <c r="V15" s="5">
        <f t="shared" si="6"/>
        <v>1.07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1133</v>
      </c>
      <c r="D16" s="3" t="s">
        <v>426</v>
      </c>
      <c r="E16" s="3" t="s">
        <v>1134</v>
      </c>
      <c r="F16" s="3" t="s">
        <v>1134</v>
      </c>
      <c r="G16" s="3" t="s">
        <v>1134</v>
      </c>
      <c r="H16" s="51">
        <v>41705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1128</v>
      </c>
      <c r="Q16" s="10" t="str">
        <f t="shared" si="1"/>
        <v>SONDOTECNICA-ON</v>
      </c>
      <c r="R16" s="51">
        <f t="shared" si="2"/>
        <v>41705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1135</v>
      </c>
      <c r="D17" s="3" t="s">
        <v>745</v>
      </c>
      <c r="E17" s="3" t="s">
        <v>745</v>
      </c>
      <c r="F17" s="3" t="s">
        <v>745</v>
      </c>
      <c r="G17" s="3" t="s">
        <v>745</v>
      </c>
      <c r="H17" s="51">
        <v>41705</v>
      </c>
      <c r="J17" s="3">
        <f t="shared" si="7"/>
        <v>40</v>
      </c>
      <c r="K17" s="3">
        <f t="shared" si="0"/>
        <v>40</v>
      </c>
      <c r="L17" s="3">
        <f t="shared" si="0"/>
        <v>40</v>
      </c>
      <c r="M17" s="3">
        <f t="shared" si="0"/>
        <v>40</v>
      </c>
      <c r="P17" s="14" t="s">
        <v>1129</v>
      </c>
      <c r="Q17" s="10" t="str">
        <f t="shared" si="1"/>
        <v>SONDOTECNICA-PNA</v>
      </c>
      <c r="R17" s="51">
        <f t="shared" si="2"/>
        <v>41705</v>
      </c>
      <c r="S17" s="5">
        <f t="shared" si="3"/>
        <v>40</v>
      </c>
      <c r="T17" s="5">
        <f t="shared" si="4"/>
        <v>40</v>
      </c>
      <c r="U17" s="5">
        <f t="shared" si="5"/>
        <v>40</v>
      </c>
      <c r="V17" s="5">
        <f t="shared" si="6"/>
        <v>40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1136</v>
      </c>
      <c r="D18" s="3" t="s">
        <v>426</v>
      </c>
      <c r="E18" s="3" t="s">
        <v>1137</v>
      </c>
      <c r="F18" s="3" t="s">
        <v>1137</v>
      </c>
      <c r="G18" s="3" t="s">
        <v>1137</v>
      </c>
      <c r="H18" s="51">
        <v>41705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1130</v>
      </c>
      <c r="Q18" s="10" t="str">
        <f t="shared" si="1"/>
        <v>SONDOTECNICA-PNB</v>
      </c>
      <c r="R18" s="51">
        <f t="shared" si="2"/>
        <v>41705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1138</v>
      </c>
      <c r="D19" s="3" t="s">
        <v>1635</v>
      </c>
      <c r="E19" s="3" t="s">
        <v>659</v>
      </c>
      <c r="F19" s="3" t="s">
        <v>1635</v>
      </c>
      <c r="G19" s="3" t="s">
        <v>659</v>
      </c>
      <c r="H19" s="51">
        <v>41705</v>
      </c>
      <c r="J19" s="3">
        <f t="shared" si="7"/>
        <v>0.09</v>
      </c>
      <c r="K19" s="3">
        <f t="shared" si="0"/>
        <v>0.08</v>
      </c>
      <c r="L19" s="3">
        <f t="shared" si="0"/>
        <v>0.09</v>
      </c>
      <c r="M19" s="3">
        <f t="shared" si="0"/>
        <v>0.08</v>
      </c>
      <c r="P19" s="10" t="s">
        <v>1131</v>
      </c>
      <c r="Q19" s="10" t="str">
        <f t="shared" si="1"/>
        <v>TECNOSOLO   -ON</v>
      </c>
      <c r="R19" s="51">
        <f t="shared" si="2"/>
        <v>41705</v>
      </c>
      <c r="S19" s="5">
        <f t="shared" si="3"/>
        <v>0.09</v>
      </c>
      <c r="T19" s="5">
        <f t="shared" si="4"/>
        <v>0.08</v>
      </c>
      <c r="U19" s="5">
        <f t="shared" si="5"/>
        <v>0.09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1139</v>
      </c>
      <c r="D20" s="3" t="s">
        <v>772</v>
      </c>
      <c r="E20" s="3" t="s">
        <v>772</v>
      </c>
      <c r="F20" s="3" t="s">
        <v>772</v>
      </c>
      <c r="G20" s="3" t="s">
        <v>772</v>
      </c>
      <c r="H20" s="51">
        <v>41705</v>
      </c>
      <c r="J20" s="3">
        <f t="shared" si="7"/>
        <v>7.0000000000000007E-2</v>
      </c>
      <c r="K20" s="3">
        <f t="shared" si="0"/>
        <v>7.0000000000000007E-2</v>
      </c>
      <c r="L20" s="3">
        <f t="shared" si="0"/>
        <v>7.0000000000000007E-2</v>
      </c>
      <c r="M20" s="3">
        <f t="shared" si="0"/>
        <v>7.0000000000000007E-2</v>
      </c>
      <c r="P20" s="10" t="s">
        <v>1132</v>
      </c>
      <c r="Q20" s="10" t="str">
        <f t="shared" si="1"/>
        <v>TECNOSOLO   -PN</v>
      </c>
      <c r="R20" s="51">
        <f t="shared" si="2"/>
        <v>41705</v>
      </c>
      <c r="S20" s="5">
        <f t="shared" si="3"/>
        <v>7.0000000000000007E-2</v>
      </c>
      <c r="T20" s="5">
        <f t="shared" si="4"/>
        <v>7.0000000000000007E-2</v>
      </c>
      <c r="U20" s="5">
        <f t="shared" si="5"/>
        <v>7.0000000000000007E-2</v>
      </c>
      <c r="V20" s="5">
        <f t="shared" si="6"/>
        <v>7.0000000000000007E-2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1143</v>
      </c>
      <c r="D21" s="3" t="s">
        <v>2004</v>
      </c>
      <c r="E21" s="3" t="s">
        <v>1485</v>
      </c>
      <c r="F21" s="3" t="s">
        <v>1372</v>
      </c>
      <c r="G21" s="3" t="s">
        <v>2005</v>
      </c>
      <c r="H21" s="51">
        <v>41705</v>
      </c>
      <c r="J21" s="3">
        <f t="shared" si="7"/>
        <v>5.03</v>
      </c>
      <c r="K21" s="3">
        <f t="shared" si="0"/>
        <v>4.9000000000000004</v>
      </c>
      <c r="L21" s="3">
        <f t="shared" si="0"/>
        <v>5.1100000000000003</v>
      </c>
      <c r="M21" s="3">
        <f t="shared" si="0"/>
        <v>4.87</v>
      </c>
      <c r="P21" s="14" t="s">
        <v>1141</v>
      </c>
      <c r="Q21" s="10" t="str">
        <f t="shared" si="1"/>
        <v xml:space="preserve">BR BROKERS  -ON  </v>
      </c>
      <c r="R21" s="51">
        <f t="shared" si="2"/>
        <v>41705</v>
      </c>
      <c r="S21" s="5">
        <f t="shared" si="3"/>
        <v>5.03</v>
      </c>
      <c r="T21" s="5">
        <f t="shared" si="4"/>
        <v>4.9000000000000004</v>
      </c>
      <c r="U21" s="5">
        <f t="shared" si="5"/>
        <v>5.1100000000000003</v>
      </c>
      <c r="V21" s="5">
        <f t="shared" si="6"/>
        <v>4.87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1144</v>
      </c>
      <c r="D22" s="3" t="s">
        <v>2006</v>
      </c>
      <c r="E22" s="3" t="s">
        <v>2007</v>
      </c>
      <c r="F22" s="3" t="s">
        <v>2008</v>
      </c>
      <c r="G22" s="3" t="s">
        <v>2009</v>
      </c>
      <c r="H22" s="51">
        <v>41705</v>
      </c>
      <c r="J22" s="3">
        <f t="shared" si="7"/>
        <v>12.56</v>
      </c>
      <c r="K22" s="3">
        <f t="shared" si="0"/>
        <v>12.16</v>
      </c>
      <c r="L22" s="3">
        <f t="shared" si="0"/>
        <v>12.88</v>
      </c>
      <c r="M22" s="3">
        <f t="shared" si="0"/>
        <v>12.11</v>
      </c>
      <c r="P22" s="14" t="s">
        <v>1142</v>
      </c>
      <c r="Q22" s="10" t="str">
        <f t="shared" si="1"/>
        <v xml:space="preserve">LOPES BRASIL-ON  </v>
      </c>
      <c r="R22" s="51">
        <f t="shared" si="2"/>
        <v>41705</v>
      </c>
      <c r="S22" s="5">
        <f t="shared" si="3"/>
        <v>12.56</v>
      </c>
      <c r="T22" s="5">
        <f t="shared" si="4"/>
        <v>12.16</v>
      </c>
      <c r="U22" s="5">
        <f t="shared" si="5"/>
        <v>12.88</v>
      </c>
      <c r="V22" s="5">
        <f t="shared" si="6"/>
        <v>12.11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1151</v>
      </c>
      <c r="D23" s="3" t="s">
        <v>1395</v>
      </c>
      <c r="E23" s="3" t="s">
        <v>1395</v>
      </c>
      <c r="F23" s="3" t="s">
        <v>1395</v>
      </c>
      <c r="G23" s="3" t="s">
        <v>1395</v>
      </c>
      <c r="H23" s="51">
        <v>41705</v>
      </c>
      <c r="J23" s="3">
        <f t="shared" si="7"/>
        <v>0.14000000000000001</v>
      </c>
      <c r="K23" s="3">
        <f t="shared" si="7"/>
        <v>0.14000000000000001</v>
      </c>
      <c r="L23" s="3">
        <f t="shared" si="7"/>
        <v>0.14000000000000001</v>
      </c>
      <c r="M23" s="3">
        <f t="shared" si="7"/>
        <v>0.14000000000000001</v>
      </c>
      <c r="P23" s="14" t="s">
        <v>1146</v>
      </c>
      <c r="Q23" s="10" t="str">
        <f t="shared" si="1"/>
        <v>CHIARELLI   -ON</v>
      </c>
      <c r="R23" s="51">
        <f t="shared" si="2"/>
        <v>41705</v>
      </c>
      <c r="S23" s="5">
        <f t="shared" si="3"/>
        <v>0.14000000000000001</v>
      </c>
      <c r="T23" s="5">
        <f t="shared" si="4"/>
        <v>0.14000000000000001</v>
      </c>
      <c r="U23" s="5">
        <f t="shared" si="5"/>
        <v>0.14000000000000001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1152</v>
      </c>
      <c r="D24" s="3" t="s">
        <v>758</v>
      </c>
      <c r="E24" s="3" t="s">
        <v>758</v>
      </c>
      <c r="F24" s="3" t="s">
        <v>555</v>
      </c>
      <c r="G24" s="3" t="s">
        <v>1635</v>
      </c>
      <c r="H24" s="51">
        <v>41705</v>
      </c>
      <c r="J24" s="3">
        <f t="shared" si="7"/>
        <v>0.1</v>
      </c>
      <c r="K24" s="3">
        <f t="shared" si="7"/>
        <v>0.1</v>
      </c>
      <c r="L24" s="3">
        <f t="shared" si="7"/>
        <v>0.11</v>
      </c>
      <c r="M24" s="3">
        <f t="shared" si="7"/>
        <v>0.09</v>
      </c>
      <c r="P24" s="15" t="s">
        <v>1147</v>
      </c>
      <c r="Q24" s="10" t="str">
        <f t="shared" si="1"/>
        <v>CHIARELLI   -PN</v>
      </c>
      <c r="R24" s="51">
        <f t="shared" si="2"/>
        <v>41705</v>
      </c>
      <c r="S24" s="5">
        <f t="shared" si="3"/>
        <v>0.1</v>
      </c>
      <c r="T24" s="5">
        <f t="shared" si="4"/>
        <v>0.1</v>
      </c>
      <c r="U24" s="5">
        <f t="shared" si="5"/>
        <v>0.11</v>
      </c>
      <c r="V24" s="5">
        <f t="shared" si="6"/>
        <v>0.09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1153</v>
      </c>
      <c r="D25" s="3" t="s">
        <v>426</v>
      </c>
      <c r="E25" s="3" t="s">
        <v>1154</v>
      </c>
      <c r="F25" s="3" t="s">
        <v>1154</v>
      </c>
      <c r="G25" s="3" t="s">
        <v>1154</v>
      </c>
      <c r="H25" s="51">
        <v>41705</v>
      </c>
      <c r="J25" s="3" t="e">
        <f t="shared" si="7"/>
        <v>#VALUE!</v>
      </c>
      <c r="K25" s="3">
        <f t="shared" si="7"/>
        <v>1.98</v>
      </c>
      <c r="L25" s="3">
        <f t="shared" si="7"/>
        <v>1.98</v>
      </c>
      <c r="M25" s="3">
        <f t="shared" si="7"/>
        <v>1.98</v>
      </c>
      <c r="P25" s="10" t="s">
        <v>1148</v>
      </c>
      <c r="Q25" s="10" t="str">
        <f t="shared" si="1"/>
        <v>HAGA S/A    -ON</v>
      </c>
      <c r="R25" s="51">
        <f t="shared" si="2"/>
        <v>41705</v>
      </c>
      <c r="S25" s="5" t="e">
        <f t="shared" si="3"/>
        <v>#VALUE!</v>
      </c>
      <c r="T25" s="5">
        <f t="shared" si="4"/>
        <v>1.98</v>
      </c>
      <c r="U25" s="5">
        <f t="shared" si="5"/>
        <v>1.98</v>
      </c>
      <c r="V25" s="5">
        <f t="shared" si="6"/>
        <v>1.98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1155</v>
      </c>
      <c r="D26" s="3" t="s">
        <v>1908</v>
      </c>
      <c r="E26" s="3" t="s">
        <v>1908</v>
      </c>
      <c r="F26" s="3" t="s">
        <v>1908</v>
      </c>
      <c r="G26" s="3" t="s">
        <v>2010</v>
      </c>
      <c r="H26" s="51">
        <v>41705</v>
      </c>
      <c r="J26" s="3">
        <f t="shared" si="7"/>
        <v>1.39</v>
      </c>
      <c r="K26" s="3">
        <f t="shared" si="7"/>
        <v>1.39</v>
      </c>
      <c r="L26" s="3">
        <f t="shared" si="7"/>
        <v>1.39</v>
      </c>
      <c r="M26" s="3">
        <f t="shared" si="7"/>
        <v>1.32</v>
      </c>
      <c r="P26" s="15" t="s">
        <v>1149</v>
      </c>
      <c r="Q26" s="10" t="str">
        <f t="shared" si="1"/>
        <v>HAGA S/A    -PN</v>
      </c>
      <c r="R26" s="51">
        <f t="shared" si="2"/>
        <v>41705</v>
      </c>
      <c r="S26" s="5">
        <f t="shared" si="3"/>
        <v>1.39</v>
      </c>
      <c r="T26" s="5">
        <f t="shared" si="4"/>
        <v>1.39</v>
      </c>
      <c r="U26" s="5">
        <f t="shared" si="5"/>
        <v>1.39</v>
      </c>
      <c r="V26" s="5">
        <f t="shared" si="6"/>
        <v>1.32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1156</v>
      </c>
      <c r="D27" s="3" t="s">
        <v>2011</v>
      </c>
      <c r="E27" s="3" t="s">
        <v>1427</v>
      </c>
      <c r="F27" s="3" t="s">
        <v>2012</v>
      </c>
      <c r="G27" s="3" t="s">
        <v>1427</v>
      </c>
      <c r="H27" s="51">
        <v>41705</v>
      </c>
      <c r="J27" s="3">
        <f t="shared" si="7"/>
        <v>4.2699999999999996</v>
      </c>
      <c r="K27" s="3">
        <f t="shared" si="7"/>
        <v>4.25</v>
      </c>
      <c r="L27" s="3">
        <f t="shared" si="7"/>
        <v>4.33</v>
      </c>
      <c r="M27" s="3">
        <f t="shared" si="7"/>
        <v>4.25</v>
      </c>
      <c r="P27" s="15" t="s">
        <v>1150</v>
      </c>
      <c r="Q27" s="10" t="str">
        <f t="shared" si="1"/>
        <v xml:space="preserve">PORTOBELLO  -ON  </v>
      </c>
      <c r="R27" s="51">
        <f t="shared" si="2"/>
        <v>41705</v>
      </c>
      <c r="S27" s="5">
        <f t="shared" si="3"/>
        <v>4.2699999999999996</v>
      </c>
      <c r="T27" s="5">
        <f t="shared" si="4"/>
        <v>4.25</v>
      </c>
      <c r="U27" s="5">
        <f t="shared" si="5"/>
        <v>4.33</v>
      </c>
      <c r="V27" s="5">
        <f t="shared" si="6"/>
        <v>4.25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1165</v>
      </c>
      <c r="D28" s="3" t="s">
        <v>2013</v>
      </c>
      <c r="E28" s="3" t="s">
        <v>2014</v>
      </c>
      <c r="F28" s="3" t="s">
        <v>2015</v>
      </c>
      <c r="G28" s="3" t="s">
        <v>390</v>
      </c>
      <c r="H28" s="51">
        <v>41705</v>
      </c>
      <c r="J28" s="3">
        <f t="shared" si="7"/>
        <v>19.72</v>
      </c>
      <c r="K28" s="3">
        <f t="shared" si="7"/>
        <v>19.66</v>
      </c>
      <c r="L28" s="3">
        <f t="shared" si="7"/>
        <v>19.8</v>
      </c>
      <c r="M28" s="3">
        <f t="shared" si="7"/>
        <v>19.5</v>
      </c>
      <c r="P28" s="15" t="s">
        <v>1157</v>
      </c>
      <c r="Q28" s="10" t="str">
        <f t="shared" si="1"/>
        <v xml:space="preserve">CONTAX      -UNT </v>
      </c>
      <c r="R28" s="51">
        <f t="shared" si="2"/>
        <v>41705</v>
      </c>
      <c r="S28" s="5">
        <f t="shared" si="3"/>
        <v>19.72</v>
      </c>
      <c r="T28" s="5">
        <f t="shared" si="4"/>
        <v>19.66</v>
      </c>
      <c r="U28" s="5">
        <f t="shared" si="5"/>
        <v>19.8</v>
      </c>
      <c r="V28" s="5">
        <f t="shared" si="6"/>
        <v>19.5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1166</v>
      </c>
      <c r="D29" s="3" t="s">
        <v>2016</v>
      </c>
      <c r="E29" s="3" t="s">
        <v>2017</v>
      </c>
      <c r="F29" s="3" t="s">
        <v>2016</v>
      </c>
      <c r="G29" s="3" t="s">
        <v>2017</v>
      </c>
      <c r="H29" s="51">
        <v>41705</v>
      </c>
      <c r="J29" s="3">
        <f>IF($A29="",0,VALUE(CONCATENATE(LEFT(D29,LEN(D29)-3),",",RIGHT(D29,2))))</f>
        <v>6.02</v>
      </c>
      <c r="K29" s="3">
        <f t="shared" si="7"/>
        <v>5.8</v>
      </c>
      <c r="L29" s="3">
        <f t="shared" si="7"/>
        <v>6.02</v>
      </c>
      <c r="M29" s="3">
        <f t="shared" si="7"/>
        <v>5.8</v>
      </c>
      <c r="P29" s="14" t="s">
        <v>1158</v>
      </c>
      <c r="Q29" s="10" t="str">
        <f t="shared" si="1"/>
        <v xml:space="preserve">CONTAX      -ON  </v>
      </c>
      <c r="R29" s="51">
        <f t="shared" si="2"/>
        <v>41705</v>
      </c>
      <c r="S29" s="5">
        <f t="shared" si="3"/>
        <v>6.02</v>
      </c>
      <c r="T29" s="5">
        <f t="shared" si="4"/>
        <v>5.8</v>
      </c>
      <c r="U29" s="5">
        <f t="shared" si="5"/>
        <v>6.02</v>
      </c>
      <c r="V29" s="5">
        <f t="shared" si="6"/>
        <v>5.8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1167</v>
      </c>
      <c r="D30" s="3" t="s">
        <v>1508</v>
      </c>
      <c r="E30" s="3" t="s">
        <v>1823</v>
      </c>
      <c r="F30" s="3" t="s">
        <v>1740</v>
      </c>
      <c r="G30" s="3" t="s">
        <v>1508</v>
      </c>
      <c r="H30" s="51">
        <v>41705</v>
      </c>
      <c r="J30" s="3">
        <f t="shared" si="7"/>
        <v>3.41</v>
      </c>
      <c r="K30" s="3">
        <f t="shared" si="7"/>
        <v>3.44</v>
      </c>
      <c r="L30" s="3">
        <f t="shared" si="7"/>
        <v>3.57</v>
      </c>
      <c r="M30" s="3">
        <f t="shared" si="7"/>
        <v>3.41</v>
      </c>
      <c r="P30" s="14" t="s">
        <v>1159</v>
      </c>
      <c r="Q30" s="10" t="str">
        <f t="shared" si="1"/>
        <v xml:space="preserve">CONTAX      -PN  </v>
      </c>
      <c r="R30" s="51">
        <f t="shared" si="2"/>
        <v>41705</v>
      </c>
      <c r="S30" s="5">
        <f t="shared" si="3"/>
        <v>3.41</v>
      </c>
      <c r="T30" s="5">
        <f t="shared" si="4"/>
        <v>3.44</v>
      </c>
      <c r="U30" s="5">
        <f t="shared" si="5"/>
        <v>3.57</v>
      </c>
      <c r="V30" s="5">
        <f t="shared" si="6"/>
        <v>3.41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1168</v>
      </c>
      <c r="D31" s="3" t="s">
        <v>1808</v>
      </c>
      <c r="E31" s="3" t="s">
        <v>1923</v>
      </c>
      <c r="F31" s="3" t="s">
        <v>1808</v>
      </c>
      <c r="G31" s="3" t="s">
        <v>2018</v>
      </c>
      <c r="H31" s="51">
        <v>41705</v>
      </c>
      <c r="J31" s="3">
        <f t="shared" si="7"/>
        <v>2.2999999999999998</v>
      </c>
      <c r="K31" s="3">
        <f t="shared" si="7"/>
        <v>2.2400000000000002</v>
      </c>
      <c r="L31" s="3">
        <f t="shared" si="7"/>
        <v>2.2999999999999998</v>
      </c>
      <c r="M31" s="3">
        <f t="shared" si="7"/>
        <v>2.2200000000000002</v>
      </c>
      <c r="P31" s="14" t="s">
        <v>1160</v>
      </c>
      <c r="Q31" s="10" t="str">
        <f t="shared" si="1"/>
        <v xml:space="preserve">CSU CARDSYST-ON  </v>
      </c>
      <c r="R31" s="51">
        <f t="shared" si="2"/>
        <v>41705</v>
      </c>
      <c r="S31" s="5">
        <f t="shared" si="3"/>
        <v>2.2999999999999998</v>
      </c>
      <c r="T31" s="5">
        <f t="shared" si="4"/>
        <v>2.2400000000000002</v>
      </c>
      <c r="U31" s="5">
        <f t="shared" si="5"/>
        <v>2.2999999999999998</v>
      </c>
      <c r="V31" s="5">
        <f t="shared" si="6"/>
        <v>2.2200000000000002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1169</v>
      </c>
      <c r="D32" s="3" t="s">
        <v>1347</v>
      </c>
      <c r="E32" s="3" t="s">
        <v>1347</v>
      </c>
      <c r="F32" s="3" t="s">
        <v>1347</v>
      </c>
      <c r="G32" s="3" t="s">
        <v>1347</v>
      </c>
      <c r="H32" s="51">
        <v>41705</v>
      </c>
      <c r="J32" s="3">
        <f t="shared" si="7"/>
        <v>0.38</v>
      </c>
      <c r="K32" s="3">
        <f t="shared" si="7"/>
        <v>0.38</v>
      </c>
      <c r="L32" s="3">
        <f t="shared" si="7"/>
        <v>0.38</v>
      </c>
      <c r="M32" s="3">
        <f t="shared" si="7"/>
        <v>0.38</v>
      </c>
      <c r="P32" s="14" t="s">
        <v>1161</v>
      </c>
      <c r="Q32" s="10" t="str">
        <f t="shared" si="1"/>
        <v>DTCOM-DIRECT-ON</v>
      </c>
      <c r="R32" s="51">
        <f t="shared" si="2"/>
        <v>41705</v>
      </c>
      <c r="S32" s="5">
        <f t="shared" si="3"/>
        <v>0.38</v>
      </c>
      <c r="T32" s="5">
        <f t="shared" si="4"/>
        <v>0.38</v>
      </c>
      <c r="U32" s="5">
        <f t="shared" si="5"/>
        <v>0.38</v>
      </c>
      <c r="V32" s="5">
        <f t="shared" si="6"/>
        <v>0.38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1170</v>
      </c>
      <c r="D33" s="3" t="s">
        <v>426</v>
      </c>
      <c r="E33" s="3" t="s">
        <v>427</v>
      </c>
      <c r="F33" s="3" t="s">
        <v>426</v>
      </c>
      <c r="G33" s="3" t="s">
        <v>426</v>
      </c>
      <c r="H33" s="51" t="s">
        <v>426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1162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1171</v>
      </c>
      <c r="D34" s="3" t="s">
        <v>1438</v>
      </c>
      <c r="E34" s="3" t="s">
        <v>2019</v>
      </c>
      <c r="F34" s="3" t="s">
        <v>2020</v>
      </c>
      <c r="G34" s="3" t="s">
        <v>1393</v>
      </c>
      <c r="H34" s="51">
        <v>41705</v>
      </c>
      <c r="J34" s="3">
        <f t="shared" si="7"/>
        <v>25.05</v>
      </c>
      <c r="K34" s="3">
        <f t="shared" si="7"/>
        <v>25.26</v>
      </c>
      <c r="L34" s="3">
        <f t="shared" si="7"/>
        <v>25.6</v>
      </c>
      <c r="M34" s="3">
        <f t="shared" si="7"/>
        <v>24.9</v>
      </c>
      <c r="P34" s="14" t="s">
        <v>1163</v>
      </c>
      <c r="Q34" s="10" t="str">
        <f t="shared" si="1"/>
        <v xml:space="preserve">MILLS       -ON  </v>
      </c>
      <c r="R34" s="51">
        <f t="shared" si="2"/>
        <v>41705</v>
      </c>
      <c r="S34" s="5">
        <f t="shared" si="3"/>
        <v>25.05</v>
      </c>
      <c r="T34" s="5">
        <f t="shared" si="4"/>
        <v>25.26</v>
      </c>
      <c r="U34" s="5">
        <f t="shared" si="5"/>
        <v>25.6</v>
      </c>
      <c r="V34" s="5">
        <f t="shared" si="6"/>
        <v>24.9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1172</v>
      </c>
      <c r="D35" s="3" t="s">
        <v>2021</v>
      </c>
      <c r="E35" s="3" t="s">
        <v>2022</v>
      </c>
      <c r="F35" s="3" t="s">
        <v>1564</v>
      </c>
      <c r="G35" s="3" t="s">
        <v>2023</v>
      </c>
      <c r="H35" s="51">
        <v>41705</v>
      </c>
      <c r="J35" s="3">
        <f t="shared" si="7"/>
        <v>28.88</v>
      </c>
      <c r="K35" s="3">
        <f t="shared" si="7"/>
        <v>28.69</v>
      </c>
      <c r="L35" s="3">
        <f t="shared" si="7"/>
        <v>29.19</v>
      </c>
      <c r="M35" s="3">
        <f t="shared" si="7"/>
        <v>28.31</v>
      </c>
      <c r="P35" s="14" t="s">
        <v>1164</v>
      </c>
      <c r="Q35" s="10" t="str">
        <f t="shared" si="1"/>
        <v xml:space="preserve">VALID       -ON  </v>
      </c>
      <c r="R35" s="51">
        <f t="shared" si="2"/>
        <v>41705</v>
      </c>
      <c r="S35" s="5">
        <f t="shared" si="3"/>
        <v>28.88</v>
      </c>
      <c r="T35" s="5">
        <f t="shared" si="4"/>
        <v>28.69</v>
      </c>
      <c r="U35" s="5">
        <f t="shared" si="5"/>
        <v>29.19</v>
      </c>
      <c r="V35" s="5">
        <f t="shared" si="6"/>
        <v>28.31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1178</v>
      </c>
      <c r="D36" s="3" t="s">
        <v>2024</v>
      </c>
      <c r="E36" s="3" t="s">
        <v>1502</v>
      </c>
      <c r="F36" s="3" t="s">
        <v>2025</v>
      </c>
      <c r="G36" s="3" t="s">
        <v>1632</v>
      </c>
      <c r="H36" s="51">
        <v>41705</v>
      </c>
      <c r="J36" s="3">
        <f t="shared" si="7"/>
        <v>18.29</v>
      </c>
      <c r="K36" s="3">
        <f t="shared" si="7"/>
        <v>17.66</v>
      </c>
      <c r="L36" s="3">
        <f t="shared" si="7"/>
        <v>18.350000000000001</v>
      </c>
      <c r="M36" s="3">
        <f t="shared" si="7"/>
        <v>17.57</v>
      </c>
      <c r="P36" s="14" t="s">
        <v>1174</v>
      </c>
      <c r="Q36" s="10" t="str">
        <f t="shared" si="1"/>
        <v xml:space="preserve">ARTERIS     -ON  </v>
      </c>
      <c r="R36" s="51">
        <f t="shared" si="2"/>
        <v>41705</v>
      </c>
      <c r="S36" s="5">
        <f t="shared" si="3"/>
        <v>18.29</v>
      </c>
      <c r="T36" s="5">
        <f t="shared" si="4"/>
        <v>17.66</v>
      </c>
      <c r="U36" s="5">
        <f t="shared" si="5"/>
        <v>18.350000000000001</v>
      </c>
      <c r="V36" s="5">
        <f t="shared" si="6"/>
        <v>17.57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1179</v>
      </c>
      <c r="D37" s="3" t="s">
        <v>2026</v>
      </c>
      <c r="E37" s="3" t="s">
        <v>2027</v>
      </c>
      <c r="F37" s="3" t="s">
        <v>1647</v>
      </c>
      <c r="G37" s="3" t="s">
        <v>2028</v>
      </c>
      <c r="H37" s="51">
        <v>41705</v>
      </c>
      <c r="J37" s="3">
        <f t="shared" si="7"/>
        <v>16.850000000000001</v>
      </c>
      <c r="K37" s="3">
        <f t="shared" si="7"/>
        <v>16.27</v>
      </c>
      <c r="L37" s="3">
        <f t="shared" si="7"/>
        <v>16.89</v>
      </c>
      <c r="M37" s="3">
        <f t="shared" si="7"/>
        <v>16.260000000000002</v>
      </c>
      <c r="P37" s="15" t="s">
        <v>1175</v>
      </c>
      <c r="Q37" s="10" t="str">
        <f t="shared" si="1"/>
        <v xml:space="preserve">CCR SA      -ON  </v>
      </c>
      <c r="R37" s="51">
        <f t="shared" si="2"/>
        <v>41705</v>
      </c>
      <c r="S37" s="5">
        <f t="shared" si="3"/>
        <v>16.850000000000001</v>
      </c>
      <c r="T37" s="5">
        <f t="shared" si="4"/>
        <v>16.27</v>
      </c>
      <c r="U37" s="5">
        <f t="shared" si="5"/>
        <v>16.89</v>
      </c>
      <c r="V37" s="5">
        <f t="shared" si="6"/>
        <v>16.260000000000002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1180</v>
      </c>
      <c r="D38" s="3" t="s">
        <v>2029</v>
      </c>
      <c r="E38" s="3" t="s">
        <v>2030</v>
      </c>
      <c r="F38" s="3" t="s">
        <v>2031</v>
      </c>
      <c r="G38" s="3" t="s">
        <v>1741</v>
      </c>
      <c r="H38" s="51">
        <v>41705</v>
      </c>
      <c r="J38" s="3">
        <f t="shared" si="7"/>
        <v>12.99</v>
      </c>
      <c r="K38" s="3">
        <f t="shared" si="7"/>
        <v>12.8</v>
      </c>
      <c r="L38" s="3">
        <f t="shared" si="7"/>
        <v>13.14</v>
      </c>
      <c r="M38" s="3">
        <f t="shared" si="7"/>
        <v>12.73</v>
      </c>
      <c r="P38" s="15" t="s">
        <v>1176</v>
      </c>
      <c r="Q38" s="10" t="str">
        <f t="shared" si="1"/>
        <v xml:space="preserve">ECORODOVIAS -ON  </v>
      </c>
      <c r="R38" s="51">
        <f t="shared" si="2"/>
        <v>41705</v>
      </c>
      <c r="S38" s="5">
        <f t="shared" si="3"/>
        <v>12.99</v>
      </c>
      <c r="T38" s="5">
        <f t="shared" si="4"/>
        <v>12.8</v>
      </c>
      <c r="U38" s="5">
        <f t="shared" si="5"/>
        <v>13.14</v>
      </c>
      <c r="V38" s="5">
        <f t="shared" si="6"/>
        <v>12.73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1181</v>
      </c>
      <c r="D39" s="3" t="s">
        <v>2032</v>
      </c>
      <c r="E39" s="3" t="s">
        <v>1527</v>
      </c>
      <c r="F39" s="3" t="s">
        <v>2033</v>
      </c>
      <c r="G39" s="3" t="s">
        <v>1527</v>
      </c>
      <c r="H39" s="51">
        <v>41705</v>
      </c>
      <c r="J39" s="3">
        <f t="shared" si="7"/>
        <v>8.82</v>
      </c>
      <c r="K39" s="3">
        <f t="shared" si="7"/>
        <v>8.65</v>
      </c>
      <c r="L39" s="3">
        <f t="shared" si="7"/>
        <v>8.91</v>
      </c>
      <c r="M39" s="3">
        <f t="shared" si="7"/>
        <v>8.65</v>
      </c>
      <c r="P39" s="14" t="s">
        <v>1177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41705</v>
      </c>
      <c r="S39" s="5">
        <f t="shared" ref="S39:S70" si="10">J39</f>
        <v>8.82</v>
      </c>
      <c r="T39" s="5">
        <f t="shared" ref="T39:T70" si="11">K39</f>
        <v>8.65</v>
      </c>
      <c r="U39" s="5">
        <f t="shared" ref="U39:U70" si="12">L39</f>
        <v>8.91</v>
      </c>
      <c r="V39" s="5">
        <f t="shared" ref="V39:V70" si="13">M39</f>
        <v>8.65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1190</v>
      </c>
      <c r="D40" s="3" t="s">
        <v>1448</v>
      </c>
      <c r="E40" s="3" t="s">
        <v>1448</v>
      </c>
      <c r="F40" s="3" t="s">
        <v>1448</v>
      </c>
      <c r="G40" s="3" t="s">
        <v>1448</v>
      </c>
      <c r="H40" s="51">
        <v>41705</v>
      </c>
      <c r="J40" s="3">
        <f t="shared" si="7"/>
        <v>1.18</v>
      </c>
      <c r="K40" s="3">
        <f t="shared" si="7"/>
        <v>1.18</v>
      </c>
      <c r="L40" s="3">
        <f t="shared" si="7"/>
        <v>1.18</v>
      </c>
      <c r="M40" s="3">
        <f t="shared" si="7"/>
        <v>1.18</v>
      </c>
      <c r="P40" s="14" t="s">
        <v>1184</v>
      </c>
      <c r="Q40" s="10" t="str">
        <f t="shared" si="8"/>
        <v>DOC IMBITUBA-ON</v>
      </c>
      <c r="R40" s="51">
        <f t="shared" si="9"/>
        <v>41705</v>
      </c>
      <c r="S40" s="5">
        <f t="shared" si="10"/>
        <v>1.18</v>
      </c>
      <c r="T40" s="5">
        <f t="shared" si="11"/>
        <v>1.18</v>
      </c>
      <c r="U40" s="5">
        <f t="shared" si="12"/>
        <v>1.18</v>
      </c>
      <c r="V40" s="5">
        <f t="shared" si="13"/>
        <v>1.18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1191</v>
      </c>
      <c r="D41" s="3" t="s">
        <v>2034</v>
      </c>
      <c r="E41" s="3" t="s">
        <v>1363</v>
      </c>
      <c r="F41" s="3" t="s">
        <v>2034</v>
      </c>
      <c r="G41" s="3" t="s">
        <v>1449</v>
      </c>
      <c r="H41" s="51">
        <v>41705</v>
      </c>
      <c r="J41" s="3">
        <f t="shared" si="7"/>
        <v>0.69</v>
      </c>
      <c r="K41" s="3">
        <f t="shared" si="7"/>
        <v>0.68</v>
      </c>
      <c r="L41" s="3">
        <f t="shared" si="7"/>
        <v>0.69</v>
      </c>
      <c r="M41" s="3">
        <f t="shared" si="7"/>
        <v>0.67</v>
      </c>
      <c r="P41" s="14" t="s">
        <v>1185</v>
      </c>
      <c r="Q41" s="10" t="str">
        <f t="shared" si="8"/>
        <v>DOC IMBITUBA-PN</v>
      </c>
      <c r="R41" s="51">
        <f t="shared" si="9"/>
        <v>41705</v>
      </c>
      <c r="S41" s="5">
        <f t="shared" si="10"/>
        <v>0.69</v>
      </c>
      <c r="T41" s="5">
        <f t="shared" si="11"/>
        <v>0.68</v>
      </c>
      <c r="U41" s="5">
        <f t="shared" si="12"/>
        <v>0.69</v>
      </c>
      <c r="V41" s="5">
        <f t="shared" si="13"/>
        <v>0.67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1192</v>
      </c>
      <c r="D42" s="3" t="s">
        <v>1452</v>
      </c>
      <c r="E42" s="3" t="s">
        <v>1913</v>
      </c>
      <c r="F42" s="3" t="s">
        <v>1452</v>
      </c>
      <c r="G42" s="3" t="s">
        <v>1913</v>
      </c>
      <c r="H42" s="51">
        <v>41705</v>
      </c>
      <c r="J42" s="3">
        <f t="shared" si="7"/>
        <v>0.91</v>
      </c>
      <c r="K42" s="3">
        <f t="shared" si="7"/>
        <v>0.87</v>
      </c>
      <c r="L42" s="3">
        <f t="shared" si="7"/>
        <v>0.91</v>
      </c>
      <c r="M42" s="3">
        <f t="shared" si="7"/>
        <v>0.87</v>
      </c>
      <c r="P42" s="14" t="s">
        <v>1186</v>
      </c>
      <c r="Q42" s="10" t="str">
        <f t="shared" si="8"/>
        <v xml:space="preserve">LLX LOG     -ON  </v>
      </c>
      <c r="R42" s="51">
        <f t="shared" si="9"/>
        <v>41705</v>
      </c>
      <c r="S42" s="5">
        <f t="shared" si="10"/>
        <v>0.91</v>
      </c>
      <c r="T42" s="5">
        <f t="shared" si="11"/>
        <v>0.87</v>
      </c>
      <c r="U42" s="5">
        <f t="shared" si="12"/>
        <v>0.91</v>
      </c>
      <c r="V42" s="5">
        <f t="shared" si="13"/>
        <v>0.87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1193</v>
      </c>
      <c r="D43" s="3" t="s">
        <v>1463</v>
      </c>
      <c r="E43" s="3" t="s">
        <v>2035</v>
      </c>
      <c r="F43" s="3" t="s">
        <v>2036</v>
      </c>
      <c r="G43" s="3" t="s">
        <v>1463</v>
      </c>
      <c r="H43" s="51">
        <v>41705</v>
      </c>
      <c r="J43" s="3">
        <f t="shared" si="7"/>
        <v>15.18</v>
      </c>
      <c r="K43" s="3">
        <f t="shared" si="7"/>
        <v>15.42</v>
      </c>
      <c r="L43" s="3">
        <f t="shared" si="7"/>
        <v>15.62</v>
      </c>
      <c r="M43" s="3">
        <f t="shared" si="7"/>
        <v>15.18</v>
      </c>
      <c r="P43" s="14" t="s">
        <v>1187</v>
      </c>
      <c r="Q43" s="10" t="str">
        <f t="shared" si="8"/>
        <v xml:space="preserve">SANTOS BRP  -UNT </v>
      </c>
      <c r="R43" s="51">
        <f t="shared" si="9"/>
        <v>41705</v>
      </c>
      <c r="S43" s="5">
        <f t="shared" si="10"/>
        <v>15.18</v>
      </c>
      <c r="T43" s="5">
        <f t="shared" si="11"/>
        <v>15.42</v>
      </c>
      <c r="U43" s="5">
        <f t="shared" si="12"/>
        <v>15.62</v>
      </c>
      <c r="V43" s="5">
        <f t="shared" si="13"/>
        <v>15.18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1194</v>
      </c>
      <c r="D44" s="3" t="s">
        <v>426</v>
      </c>
      <c r="E44" s="3" t="s">
        <v>427</v>
      </c>
      <c r="F44" s="3" t="s">
        <v>426</v>
      </c>
      <c r="G44" s="3" t="s">
        <v>426</v>
      </c>
      <c r="H44" s="51" t="s">
        <v>426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1188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1195</v>
      </c>
      <c r="D45" s="3" t="s">
        <v>426</v>
      </c>
      <c r="E45" s="3" t="s">
        <v>427</v>
      </c>
      <c r="F45" s="3" t="s">
        <v>426</v>
      </c>
      <c r="G45" s="3" t="s">
        <v>426</v>
      </c>
      <c r="H45" s="51" t="s">
        <v>426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1189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1199</v>
      </c>
      <c r="D46" s="3" t="s">
        <v>426</v>
      </c>
      <c r="E46" s="3" t="s">
        <v>427</v>
      </c>
      <c r="F46" s="3" t="s">
        <v>426</v>
      </c>
      <c r="G46" s="3" t="s">
        <v>426</v>
      </c>
      <c r="H46" s="51" t="s">
        <v>426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1197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1200</v>
      </c>
      <c r="D47" s="3" t="s">
        <v>1324</v>
      </c>
      <c r="E47" s="3" t="s">
        <v>1541</v>
      </c>
      <c r="F47" s="3" t="s">
        <v>1723</v>
      </c>
      <c r="G47" s="3" t="s">
        <v>2037</v>
      </c>
      <c r="H47" s="51">
        <v>41705</v>
      </c>
      <c r="J47" s="3">
        <f t="shared" si="7"/>
        <v>10.5</v>
      </c>
      <c r="K47" s="3">
        <f t="shared" si="7"/>
        <v>10.130000000000001</v>
      </c>
      <c r="L47" s="3">
        <f t="shared" si="7"/>
        <v>10.67</v>
      </c>
      <c r="M47" s="3">
        <f t="shared" si="7"/>
        <v>10.11</v>
      </c>
      <c r="P47" s="10" t="s">
        <v>1198</v>
      </c>
      <c r="Q47" s="10" t="str">
        <f t="shared" si="8"/>
        <v xml:space="preserve">GOL         -PN  </v>
      </c>
      <c r="R47" s="51">
        <f t="shared" si="9"/>
        <v>41705</v>
      </c>
      <c r="S47" s="5">
        <f t="shared" si="10"/>
        <v>10.5</v>
      </c>
      <c r="T47" s="5">
        <f t="shared" si="11"/>
        <v>10.130000000000001</v>
      </c>
      <c r="U47" s="5">
        <f t="shared" si="12"/>
        <v>10.67</v>
      </c>
      <c r="V47" s="5">
        <f t="shared" si="13"/>
        <v>10.11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1205</v>
      </c>
      <c r="D48" s="3" t="s">
        <v>1571</v>
      </c>
      <c r="E48" s="3" t="s">
        <v>1784</v>
      </c>
      <c r="F48" s="3" t="s">
        <v>1985</v>
      </c>
      <c r="G48" s="3" t="s">
        <v>1464</v>
      </c>
      <c r="H48" s="51">
        <v>41705</v>
      </c>
      <c r="J48" s="3">
        <f t="shared" si="7"/>
        <v>7.04</v>
      </c>
      <c r="K48" s="3">
        <f t="shared" si="7"/>
        <v>7.12</v>
      </c>
      <c r="L48" s="3">
        <f t="shared" si="7"/>
        <v>7.46</v>
      </c>
      <c r="M48" s="3">
        <f t="shared" si="7"/>
        <v>6.95</v>
      </c>
      <c r="P48" s="14" t="s">
        <v>1202</v>
      </c>
      <c r="Q48" s="10" t="str">
        <f t="shared" si="8"/>
        <v xml:space="preserve">ALL AMER LAT-ON  </v>
      </c>
      <c r="R48" s="51">
        <f t="shared" si="9"/>
        <v>41705</v>
      </c>
      <c r="S48" s="5">
        <f t="shared" si="10"/>
        <v>7.04</v>
      </c>
      <c r="T48" s="5">
        <f t="shared" si="11"/>
        <v>7.12</v>
      </c>
      <c r="U48" s="5">
        <f t="shared" si="12"/>
        <v>7.46</v>
      </c>
      <c r="V48" s="5">
        <f t="shared" si="13"/>
        <v>6.95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1206</v>
      </c>
      <c r="D49" s="3" t="s">
        <v>426</v>
      </c>
      <c r="E49" s="3" t="s">
        <v>664</v>
      </c>
      <c r="F49" s="3" t="s">
        <v>664</v>
      </c>
      <c r="G49" s="3" t="s">
        <v>664</v>
      </c>
      <c r="H49" s="51">
        <v>41705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1203</v>
      </c>
      <c r="Q49" s="10" t="str">
        <f t="shared" si="8"/>
        <v>FER C ATLANT-ON</v>
      </c>
      <c r="R49" s="51">
        <f t="shared" si="9"/>
        <v>41705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1207</v>
      </c>
      <c r="D50" s="3" t="s">
        <v>426</v>
      </c>
      <c r="E50" s="3" t="s">
        <v>427</v>
      </c>
      <c r="F50" s="3" t="s">
        <v>426</v>
      </c>
      <c r="G50" s="3" t="s">
        <v>426</v>
      </c>
      <c r="H50" s="51" t="s">
        <v>426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1204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1212</v>
      </c>
      <c r="D51" s="3" t="s">
        <v>2038</v>
      </c>
      <c r="E51" s="3" t="s">
        <v>2039</v>
      </c>
      <c r="F51" s="3" t="s">
        <v>2038</v>
      </c>
      <c r="G51" s="3" t="s">
        <v>2040</v>
      </c>
      <c r="H51" s="51">
        <v>41705</v>
      </c>
      <c r="J51" s="3">
        <f t="shared" si="7"/>
        <v>8.76</v>
      </c>
      <c r="K51" s="3">
        <f t="shared" si="7"/>
        <v>8.42</v>
      </c>
      <c r="L51" s="3">
        <f t="shared" si="7"/>
        <v>8.76</v>
      </c>
      <c r="M51" s="3">
        <f t="shared" si="7"/>
        <v>8.3800000000000008</v>
      </c>
      <c r="P51" s="14" t="s">
        <v>1209</v>
      </c>
      <c r="Q51" s="10" t="str">
        <f t="shared" si="8"/>
        <v xml:space="preserve">LOG-IN      -ON  </v>
      </c>
      <c r="R51" s="51">
        <f t="shared" si="9"/>
        <v>41705</v>
      </c>
      <c r="S51" s="5">
        <f t="shared" si="10"/>
        <v>8.76</v>
      </c>
      <c r="T51" s="5">
        <f t="shared" si="11"/>
        <v>8.42</v>
      </c>
      <c r="U51" s="5">
        <f t="shared" si="12"/>
        <v>8.76</v>
      </c>
      <c r="V51" s="5">
        <f t="shared" si="13"/>
        <v>8.3800000000000008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1213</v>
      </c>
      <c r="D52" s="3" t="s">
        <v>426</v>
      </c>
      <c r="E52" s="3" t="s">
        <v>1214</v>
      </c>
      <c r="F52" s="3" t="s">
        <v>1214</v>
      </c>
      <c r="G52" s="3" t="s">
        <v>1214</v>
      </c>
      <c r="H52" s="51">
        <v>41705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1210</v>
      </c>
      <c r="Q52" s="10" t="str">
        <f t="shared" si="8"/>
        <v>TREVISA     -ON</v>
      </c>
      <c r="R52" s="51">
        <f t="shared" si="9"/>
        <v>41705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1215</v>
      </c>
      <c r="D53" s="3" t="s">
        <v>1466</v>
      </c>
      <c r="E53" s="3" t="s">
        <v>1466</v>
      </c>
      <c r="F53" s="3" t="s">
        <v>1466</v>
      </c>
      <c r="G53" s="3" t="s">
        <v>1466</v>
      </c>
      <c r="H53" s="51">
        <v>41705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1211</v>
      </c>
      <c r="Q53" s="10" t="str">
        <f t="shared" si="8"/>
        <v>TREVISA     -PN</v>
      </c>
      <c r="R53" s="51">
        <f t="shared" si="9"/>
        <v>41705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1219</v>
      </c>
      <c r="D54" s="3" t="s">
        <v>2041</v>
      </c>
      <c r="E54" s="61" t="s">
        <v>1515</v>
      </c>
      <c r="F54" s="61" t="s">
        <v>1925</v>
      </c>
      <c r="G54" s="61" t="s">
        <v>2042</v>
      </c>
      <c r="H54" s="51">
        <v>41705</v>
      </c>
      <c r="J54" s="3">
        <f t="shared" si="7"/>
        <v>14.58</v>
      </c>
      <c r="K54" s="3">
        <f t="shared" si="7"/>
        <v>14.05</v>
      </c>
      <c r="L54" s="3">
        <f t="shared" si="7"/>
        <v>14.97</v>
      </c>
      <c r="M54" s="3">
        <f t="shared" si="7"/>
        <v>13.96</v>
      </c>
      <c r="P54" s="14" t="s">
        <v>1217</v>
      </c>
      <c r="Q54" s="10" t="str">
        <f t="shared" si="8"/>
        <v xml:space="preserve">JSL         -ON  </v>
      </c>
      <c r="R54" s="51">
        <f t="shared" si="9"/>
        <v>41705</v>
      </c>
      <c r="S54" s="5">
        <f t="shared" si="10"/>
        <v>14.58</v>
      </c>
      <c r="T54" s="5">
        <f t="shared" si="11"/>
        <v>14.05</v>
      </c>
      <c r="U54" s="5">
        <f t="shared" si="12"/>
        <v>14.97</v>
      </c>
      <c r="V54" s="5">
        <f t="shared" si="13"/>
        <v>13.96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1220</v>
      </c>
      <c r="D55" s="3" t="s">
        <v>2043</v>
      </c>
      <c r="E55" s="3" t="s">
        <v>1362</v>
      </c>
      <c r="F55" s="3" t="s">
        <v>2044</v>
      </c>
      <c r="G55" s="3" t="s">
        <v>1699</v>
      </c>
      <c r="H55" s="51">
        <v>41705</v>
      </c>
      <c r="J55" s="3">
        <f t="shared" si="7"/>
        <v>18.75</v>
      </c>
      <c r="K55" s="3">
        <f t="shared" si="7"/>
        <v>18.5</v>
      </c>
      <c r="L55" s="3">
        <f t="shared" si="7"/>
        <v>18.89</v>
      </c>
      <c r="M55" s="3">
        <f t="shared" si="7"/>
        <v>18.440000000000001</v>
      </c>
      <c r="P55" s="43" t="s">
        <v>1218</v>
      </c>
      <c r="Q55" s="10" t="str">
        <f t="shared" si="8"/>
        <v xml:space="preserve">TEGMA       -ON  </v>
      </c>
      <c r="R55" s="51">
        <f t="shared" si="9"/>
        <v>41705</v>
      </c>
      <c r="S55" s="5">
        <f t="shared" si="10"/>
        <v>18.75</v>
      </c>
      <c r="T55" s="5">
        <f t="shared" si="11"/>
        <v>18.5</v>
      </c>
      <c r="U55" s="5">
        <f t="shared" si="12"/>
        <v>18.89</v>
      </c>
      <c r="V55" s="5">
        <f t="shared" si="13"/>
        <v>18.440000000000001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1223</v>
      </c>
      <c r="D56" s="3" t="s">
        <v>1450</v>
      </c>
      <c r="E56" s="3" t="s">
        <v>1450</v>
      </c>
      <c r="F56" s="3" t="s">
        <v>1450</v>
      </c>
      <c r="G56" s="3" t="s">
        <v>1450</v>
      </c>
      <c r="H56" s="51">
        <v>41705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1221</v>
      </c>
      <c r="Q56" s="10" t="str">
        <f t="shared" si="8"/>
        <v>WLM IND COM -ON</v>
      </c>
      <c r="R56" s="51">
        <f t="shared" si="9"/>
        <v>41705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1224</v>
      </c>
      <c r="D57" s="3" t="s">
        <v>1469</v>
      </c>
      <c r="E57" s="3" t="s">
        <v>1469</v>
      </c>
      <c r="F57" s="3" t="s">
        <v>1469</v>
      </c>
      <c r="G57" s="3" t="s">
        <v>1469</v>
      </c>
      <c r="H57" s="51">
        <v>41705</v>
      </c>
      <c r="J57" s="3">
        <f t="shared" si="7"/>
        <v>83.99</v>
      </c>
      <c r="K57" s="3">
        <f t="shared" si="7"/>
        <v>83.99</v>
      </c>
      <c r="L57" s="3">
        <f t="shared" si="7"/>
        <v>83.99</v>
      </c>
      <c r="M57" s="3">
        <f t="shared" si="7"/>
        <v>83.99</v>
      </c>
      <c r="P57" s="14" t="s">
        <v>1222</v>
      </c>
      <c r="Q57" s="10" t="str">
        <f t="shared" si="8"/>
        <v>WLM IND COM -PN</v>
      </c>
      <c r="R57" s="51">
        <f t="shared" si="9"/>
        <v>41705</v>
      </c>
      <c r="S57" s="5">
        <f t="shared" si="10"/>
        <v>83.99</v>
      </c>
      <c r="T57" s="5">
        <f t="shared" si="11"/>
        <v>83.99</v>
      </c>
      <c r="U57" s="5">
        <f t="shared" si="12"/>
        <v>83.99</v>
      </c>
      <c r="V57" s="5">
        <f t="shared" si="13"/>
        <v>83.99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1229</v>
      </c>
      <c r="D58" s="3" t="s">
        <v>2045</v>
      </c>
      <c r="E58" s="3" t="s">
        <v>1115</v>
      </c>
      <c r="F58" s="3" t="s">
        <v>2045</v>
      </c>
      <c r="G58" s="3" t="s">
        <v>1115</v>
      </c>
      <c r="H58" s="51">
        <v>41705</v>
      </c>
      <c r="J58" s="3">
        <f t="shared" si="7"/>
        <v>1.96</v>
      </c>
      <c r="K58" s="3">
        <f t="shared" si="7"/>
        <v>1.95</v>
      </c>
      <c r="L58" s="3">
        <f t="shared" si="7"/>
        <v>1.96</v>
      </c>
      <c r="M58" s="3">
        <f t="shared" si="7"/>
        <v>1.95</v>
      </c>
      <c r="P58" s="14" t="s">
        <v>1228</v>
      </c>
      <c r="Q58" s="10" t="str">
        <f t="shared" si="8"/>
        <v xml:space="preserve">METALFRIO   -ON  </v>
      </c>
      <c r="R58" s="51">
        <f t="shared" si="9"/>
        <v>41705</v>
      </c>
      <c r="S58" s="5">
        <f t="shared" si="10"/>
        <v>1.96</v>
      </c>
      <c r="T58" s="5">
        <f t="shared" si="11"/>
        <v>1.95</v>
      </c>
      <c r="U58" s="5">
        <f t="shared" si="12"/>
        <v>1.96</v>
      </c>
      <c r="V58" s="5">
        <f t="shared" si="13"/>
        <v>1.95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1233</v>
      </c>
      <c r="D59" s="3" t="s">
        <v>1921</v>
      </c>
      <c r="E59" s="61" t="s">
        <v>1512</v>
      </c>
      <c r="F59" s="61" t="s">
        <v>1921</v>
      </c>
      <c r="G59" s="61" t="s">
        <v>1512</v>
      </c>
      <c r="H59" s="51">
        <v>41705</v>
      </c>
      <c r="J59" s="3">
        <f t="shared" si="7"/>
        <v>2.0499999999999998</v>
      </c>
      <c r="K59" s="3">
        <f t="shared" si="7"/>
        <v>2.04</v>
      </c>
      <c r="L59" s="3">
        <f t="shared" si="7"/>
        <v>2.0499999999999998</v>
      </c>
      <c r="M59" s="3">
        <f t="shared" si="7"/>
        <v>2.04</v>
      </c>
      <c r="P59" s="14" t="s">
        <v>1231</v>
      </c>
      <c r="Q59" s="10" t="str">
        <f t="shared" si="8"/>
        <v xml:space="preserve">FORJA TAURUS-ON  </v>
      </c>
      <c r="R59" s="46">
        <f t="shared" si="9"/>
        <v>41705</v>
      </c>
      <c r="S59" s="6">
        <f t="shared" si="10"/>
        <v>2.0499999999999998</v>
      </c>
      <c r="T59" s="6">
        <f t="shared" si="11"/>
        <v>2.04</v>
      </c>
      <c r="U59" s="6">
        <f t="shared" si="12"/>
        <v>2.0499999999999998</v>
      </c>
      <c r="V59" s="6">
        <f t="shared" si="13"/>
        <v>2.04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1234</v>
      </c>
      <c r="D60" s="3" t="s">
        <v>2046</v>
      </c>
      <c r="E60" s="61" t="s">
        <v>525</v>
      </c>
      <c r="F60" s="61" t="s">
        <v>2047</v>
      </c>
      <c r="G60" s="61" t="s">
        <v>1979</v>
      </c>
      <c r="H60" s="51">
        <v>41705</v>
      </c>
      <c r="J60" s="3">
        <f t="shared" si="7"/>
        <v>1.75</v>
      </c>
      <c r="K60" s="3">
        <f t="shared" si="7"/>
        <v>1.7</v>
      </c>
      <c r="L60" s="3">
        <f t="shared" si="7"/>
        <v>1.78</v>
      </c>
      <c r="M60" s="3">
        <f t="shared" si="7"/>
        <v>1.68</v>
      </c>
      <c r="P60" s="14" t="s">
        <v>1232</v>
      </c>
      <c r="Q60" s="10" t="str">
        <f t="shared" si="8"/>
        <v xml:space="preserve">FORJA TAURUS-PN  </v>
      </c>
      <c r="R60" s="51">
        <f t="shared" si="9"/>
        <v>41705</v>
      </c>
      <c r="S60" s="5">
        <f t="shared" si="10"/>
        <v>1.75</v>
      </c>
      <c r="T60" s="5">
        <f t="shared" si="11"/>
        <v>1.7</v>
      </c>
      <c r="U60" s="5">
        <f t="shared" si="12"/>
        <v>1.78</v>
      </c>
      <c r="V60" s="5">
        <f t="shared" si="13"/>
        <v>1.68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1239</v>
      </c>
      <c r="D61" s="3" t="s">
        <v>426</v>
      </c>
      <c r="E61" s="3" t="s">
        <v>617</v>
      </c>
      <c r="F61" s="3" t="s">
        <v>617</v>
      </c>
      <c r="G61" s="3" t="s">
        <v>617</v>
      </c>
      <c r="H61" s="51">
        <v>41705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1235</v>
      </c>
      <c r="Q61" s="10" t="str">
        <f t="shared" si="8"/>
        <v>ACO ALTONA  -ON</v>
      </c>
      <c r="R61" s="51">
        <f t="shared" si="9"/>
        <v>41705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1240</v>
      </c>
      <c r="D62" s="3" t="s">
        <v>1471</v>
      </c>
      <c r="E62" s="3" t="s">
        <v>1472</v>
      </c>
      <c r="F62" s="3" t="s">
        <v>1471</v>
      </c>
      <c r="G62" s="3" t="s">
        <v>1472</v>
      </c>
      <c r="H62" s="51">
        <v>41705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1236</v>
      </c>
      <c r="Q62" s="10" t="str">
        <f t="shared" si="8"/>
        <v>ACO ALTONA  -PN</v>
      </c>
      <c r="R62" s="51">
        <f t="shared" si="9"/>
        <v>41705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1241</v>
      </c>
      <c r="D63" s="3" t="s">
        <v>426</v>
      </c>
      <c r="E63" s="3" t="s">
        <v>633</v>
      </c>
      <c r="F63" s="3" t="s">
        <v>633</v>
      </c>
      <c r="G63" s="3" t="s">
        <v>633</v>
      </c>
      <c r="H63" s="51">
        <v>41705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1237</v>
      </c>
      <c r="Q63" s="10" t="str">
        <f t="shared" si="8"/>
        <v>METISA      -ON</v>
      </c>
      <c r="R63" s="51">
        <f t="shared" si="9"/>
        <v>41705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1242</v>
      </c>
      <c r="D64" s="3" t="s">
        <v>1536</v>
      </c>
      <c r="E64" s="3" t="s">
        <v>1536</v>
      </c>
      <c r="F64" s="3" t="s">
        <v>1536</v>
      </c>
      <c r="G64" s="3" t="s">
        <v>1536</v>
      </c>
      <c r="H64" s="51">
        <v>41705</v>
      </c>
      <c r="J64" s="3">
        <f t="shared" si="7"/>
        <v>17</v>
      </c>
      <c r="K64" s="3">
        <f t="shared" si="7"/>
        <v>17</v>
      </c>
      <c r="L64" s="3">
        <f t="shared" si="7"/>
        <v>17</v>
      </c>
      <c r="M64" s="3">
        <f t="shared" si="7"/>
        <v>17</v>
      </c>
      <c r="P64" s="14" t="s">
        <v>1238</v>
      </c>
      <c r="Q64" s="10" t="str">
        <f t="shared" si="8"/>
        <v>METISA      -PN</v>
      </c>
      <c r="R64" s="51">
        <f t="shared" si="9"/>
        <v>41705</v>
      </c>
      <c r="S64" s="5">
        <f t="shared" si="10"/>
        <v>17</v>
      </c>
      <c r="T64" s="5">
        <f t="shared" si="11"/>
        <v>17</v>
      </c>
      <c r="U64" s="5">
        <f t="shared" si="12"/>
        <v>17</v>
      </c>
      <c r="V64" s="5">
        <f t="shared" si="13"/>
        <v>17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1246</v>
      </c>
      <c r="D65" s="3" t="s">
        <v>426</v>
      </c>
      <c r="E65" s="3" t="s">
        <v>745</v>
      </c>
      <c r="F65" s="3" t="s">
        <v>745</v>
      </c>
      <c r="G65" s="3" t="s">
        <v>745</v>
      </c>
      <c r="H65" s="51">
        <v>41705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1244</v>
      </c>
      <c r="Q65" s="10" t="str">
        <f t="shared" si="8"/>
        <v>BAUMER      -ON</v>
      </c>
      <c r="R65" s="51">
        <f t="shared" si="9"/>
        <v>41705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1247</v>
      </c>
      <c r="D66" s="3" t="s">
        <v>2048</v>
      </c>
      <c r="E66" s="3" t="s">
        <v>2048</v>
      </c>
      <c r="F66" s="3" t="s">
        <v>2048</v>
      </c>
      <c r="G66" s="3" t="s">
        <v>2048</v>
      </c>
      <c r="H66" s="51">
        <v>41705</v>
      </c>
      <c r="J66" s="3">
        <f t="shared" si="7"/>
        <v>100.11</v>
      </c>
      <c r="K66" s="3">
        <f t="shared" si="7"/>
        <v>100.11</v>
      </c>
      <c r="L66" s="3">
        <f t="shared" si="7"/>
        <v>100.11</v>
      </c>
      <c r="M66" s="3">
        <f t="shared" si="7"/>
        <v>100.11</v>
      </c>
      <c r="P66" s="10" t="s">
        <v>1245</v>
      </c>
      <c r="Q66" s="10" t="str">
        <f t="shared" si="8"/>
        <v>BAUMER      -PN</v>
      </c>
      <c r="R66" s="51">
        <f t="shared" si="9"/>
        <v>41705</v>
      </c>
      <c r="S66" s="5">
        <f t="shared" si="10"/>
        <v>100.11</v>
      </c>
      <c r="T66" s="5">
        <f t="shared" si="11"/>
        <v>100.11</v>
      </c>
      <c r="U66" s="5">
        <f t="shared" si="12"/>
        <v>100.11</v>
      </c>
      <c r="V66" s="5">
        <f t="shared" si="13"/>
        <v>100.11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1260</v>
      </c>
      <c r="D67" s="3" t="s">
        <v>426</v>
      </c>
      <c r="E67" s="3" t="s">
        <v>1261</v>
      </c>
      <c r="F67" s="3" t="s">
        <v>1261</v>
      </c>
      <c r="G67" s="3" t="s">
        <v>1261</v>
      </c>
      <c r="H67" s="51">
        <v>41705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1253</v>
      </c>
      <c r="Q67" s="10" t="str">
        <f t="shared" si="8"/>
        <v>BARDELLA    -ON</v>
      </c>
      <c r="R67" s="51">
        <f t="shared" si="9"/>
        <v>41705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1262</v>
      </c>
      <c r="D68" s="3" t="s">
        <v>745</v>
      </c>
      <c r="E68" s="3" t="s">
        <v>745</v>
      </c>
      <c r="F68" s="3" t="s">
        <v>745</v>
      </c>
      <c r="G68" s="3" t="s">
        <v>745</v>
      </c>
      <c r="H68" s="51">
        <v>41705</v>
      </c>
      <c r="J68" s="3">
        <f t="shared" si="7"/>
        <v>40</v>
      </c>
      <c r="K68" s="3">
        <f t="shared" si="7"/>
        <v>40</v>
      </c>
      <c r="L68" s="3">
        <f t="shared" si="7"/>
        <v>40</v>
      </c>
      <c r="M68" s="3">
        <f t="shared" si="7"/>
        <v>40</v>
      </c>
      <c r="P68" s="14" t="s">
        <v>1254</v>
      </c>
      <c r="Q68" s="10" t="str">
        <f t="shared" si="8"/>
        <v>BARDELLA    -PN</v>
      </c>
      <c r="R68" s="51">
        <f t="shared" si="9"/>
        <v>41705</v>
      </c>
      <c r="S68" s="5">
        <f t="shared" si="10"/>
        <v>40</v>
      </c>
      <c r="T68" s="5">
        <f t="shared" si="11"/>
        <v>40</v>
      </c>
      <c r="U68" s="5">
        <f t="shared" si="12"/>
        <v>40</v>
      </c>
      <c r="V68" s="5">
        <f t="shared" si="13"/>
        <v>40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1263</v>
      </c>
      <c r="D69" s="3" t="s">
        <v>2049</v>
      </c>
      <c r="E69" s="3" t="s">
        <v>2050</v>
      </c>
      <c r="F69" s="3" t="s">
        <v>1411</v>
      </c>
      <c r="G69" s="3" t="s">
        <v>1655</v>
      </c>
      <c r="H69" s="51">
        <v>41705</v>
      </c>
      <c r="J69" s="3">
        <f t="shared" si="7"/>
        <v>5.33</v>
      </c>
      <c r="K69" s="3">
        <f t="shared" si="7"/>
        <v>5.24</v>
      </c>
      <c r="L69" s="3">
        <f t="shared" si="7"/>
        <v>5.4</v>
      </c>
      <c r="M69" s="3">
        <f t="shared" si="7"/>
        <v>5.2</v>
      </c>
      <c r="P69" s="14" t="s">
        <v>1255</v>
      </c>
      <c r="Q69" s="10" t="str">
        <f t="shared" si="8"/>
        <v xml:space="preserve">INDS ROMI   -ON  </v>
      </c>
      <c r="R69" s="51">
        <f t="shared" si="9"/>
        <v>41705</v>
      </c>
      <c r="S69" s="5">
        <f t="shared" si="10"/>
        <v>5.33</v>
      </c>
      <c r="T69" s="5">
        <f t="shared" si="11"/>
        <v>5.24</v>
      </c>
      <c r="U69" s="5">
        <f t="shared" si="12"/>
        <v>5.4</v>
      </c>
      <c r="V69" s="5">
        <f t="shared" si="13"/>
        <v>5.2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1264</v>
      </c>
      <c r="D70" s="3" t="s">
        <v>1777</v>
      </c>
      <c r="E70" s="3" t="s">
        <v>1777</v>
      </c>
      <c r="F70" s="3" t="s">
        <v>1777</v>
      </c>
      <c r="G70" s="3" t="s">
        <v>1777</v>
      </c>
      <c r="H70" s="51">
        <v>41705</v>
      </c>
      <c r="J70" s="3">
        <f t="shared" si="7"/>
        <v>0.9</v>
      </c>
      <c r="K70" s="3">
        <f t="shared" si="7"/>
        <v>0.9</v>
      </c>
      <c r="L70" s="3">
        <f t="shared" si="7"/>
        <v>0.9</v>
      </c>
      <c r="M70" s="3">
        <f t="shared" si="7"/>
        <v>0.9</v>
      </c>
      <c r="P70" s="14" t="s">
        <v>1256</v>
      </c>
      <c r="Q70" s="10" t="str">
        <f t="shared" si="8"/>
        <v xml:space="preserve">INEPAR      -ON  </v>
      </c>
      <c r="R70" s="51">
        <f t="shared" si="9"/>
        <v>41705</v>
      </c>
      <c r="S70" s="5">
        <f t="shared" si="10"/>
        <v>0.9</v>
      </c>
      <c r="T70" s="5">
        <f t="shared" si="11"/>
        <v>0.9</v>
      </c>
      <c r="U70" s="5">
        <f t="shared" si="12"/>
        <v>0.9</v>
      </c>
      <c r="V70" s="5">
        <f t="shared" si="13"/>
        <v>0.9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1265</v>
      </c>
      <c r="D71" s="3" t="s">
        <v>2051</v>
      </c>
      <c r="E71" s="3" t="s">
        <v>912</v>
      </c>
      <c r="F71" s="3" t="s">
        <v>1473</v>
      </c>
      <c r="G71" s="3" t="s">
        <v>912</v>
      </c>
      <c r="H71" s="51">
        <v>41705</v>
      </c>
      <c r="J71" s="3">
        <f t="shared" si="7"/>
        <v>0.8</v>
      </c>
      <c r="K71" s="3">
        <f t="shared" si="7"/>
        <v>0.79</v>
      </c>
      <c r="L71" s="3">
        <f t="shared" si="7"/>
        <v>0.81</v>
      </c>
      <c r="M71" s="3">
        <f t="shared" si="7"/>
        <v>0.79</v>
      </c>
      <c r="P71" s="14" t="s">
        <v>1257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41705</v>
      </c>
      <c r="S71" s="6">
        <f t="shared" ref="S71:S102" si="16">J71</f>
        <v>0.8</v>
      </c>
      <c r="T71" s="6">
        <f t="shared" ref="T71:T102" si="17">K71</f>
        <v>0.79</v>
      </c>
      <c r="U71" s="6">
        <f t="shared" ref="U71:U102" si="18">L71</f>
        <v>0.81</v>
      </c>
      <c r="V71" s="6">
        <f t="shared" ref="V71:V102" si="19">M71</f>
        <v>0.79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1266</v>
      </c>
      <c r="D72" s="3" t="s">
        <v>2052</v>
      </c>
      <c r="E72" s="3" t="s">
        <v>2053</v>
      </c>
      <c r="F72" s="3" t="s">
        <v>2052</v>
      </c>
      <c r="G72" s="3" t="s">
        <v>2054</v>
      </c>
      <c r="H72" s="51">
        <v>41705</v>
      </c>
      <c r="J72" s="3">
        <f t="shared" ref="J72:M135" si="20">IF($A72="",0,VALUE(CONCATENATE(LEFT(D72,LEN(D72)-3),",",RIGHT(D72,2))))</f>
        <v>36.17</v>
      </c>
      <c r="K72" s="3">
        <f t="shared" si="20"/>
        <v>35.76</v>
      </c>
      <c r="L72" s="3">
        <f t="shared" si="20"/>
        <v>36.17</v>
      </c>
      <c r="M72" s="3">
        <f t="shared" si="20"/>
        <v>35.56</v>
      </c>
      <c r="P72" s="15" t="s">
        <v>1258</v>
      </c>
      <c r="Q72" s="10" t="str">
        <f t="shared" si="14"/>
        <v>KEPLER WEBER-ON</v>
      </c>
      <c r="R72" s="51">
        <f t="shared" si="15"/>
        <v>41705</v>
      </c>
      <c r="S72" s="5">
        <f t="shared" si="16"/>
        <v>36.17</v>
      </c>
      <c r="T72" s="5">
        <f t="shared" si="17"/>
        <v>35.76</v>
      </c>
      <c r="U72" s="5">
        <f t="shared" si="18"/>
        <v>36.17</v>
      </c>
      <c r="V72" s="5">
        <f t="shared" si="19"/>
        <v>35.56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1267</v>
      </c>
      <c r="D73" s="3" t="s">
        <v>426</v>
      </c>
      <c r="E73" s="3" t="s">
        <v>1026</v>
      </c>
      <c r="F73" s="3" t="s">
        <v>1026</v>
      </c>
      <c r="G73" s="3" t="s">
        <v>1026</v>
      </c>
      <c r="H73" s="51">
        <v>41705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1259</v>
      </c>
      <c r="Q73" s="10" t="str">
        <f t="shared" si="14"/>
        <v>NORDON MET  -ON *</v>
      </c>
      <c r="R73" s="51">
        <f t="shared" si="15"/>
        <v>41705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1273</v>
      </c>
      <c r="D74" s="3" t="s">
        <v>426</v>
      </c>
      <c r="E74" s="3" t="s">
        <v>427</v>
      </c>
      <c r="F74" s="3" t="s">
        <v>426</v>
      </c>
      <c r="G74" s="3" t="s">
        <v>426</v>
      </c>
      <c r="H74" s="51" t="s">
        <v>426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1270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1274</v>
      </c>
      <c r="D75" s="3" t="s">
        <v>2055</v>
      </c>
      <c r="E75" s="3" t="s">
        <v>1424</v>
      </c>
      <c r="F75" s="3" t="s">
        <v>2056</v>
      </c>
      <c r="G75" s="3" t="s">
        <v>2057</v>
      </c>
      <c r="H75" s="51">
        <v>41705</v>
      </c>
      <c r="J75" s="3">
        <f t="shared" si="20"/>
        <v>10.050000000000001</v>
      </c>
      <c r="K75" s="3">
        <f t="shared" si="20"/>
        <v>10.199999999999999</v>
      </c>
      <c r="L75" s="3">
        <f t="shared" si="20"/>
        <v>10.25</v>
      </c>
      <c r="M75" s="3">
        <f t="shared" si="20"/>
        <v>10.039999999999999</v>
      </c>
      <c r="P75" s="14" t="s">
        <v>1271</v>
      </c>
      <c r="Q75" s="10" t="str">
        <f t="shared" si="14"/>
        <v>SCHULZ      -PN</v>
      </c>
      <c r="R75" s="51">
        <f t="shared" si="15"/>
        <v>41705</v>
      </c>
      <c r="S75" s="5">
        <f t="shared" si="16"/>
        <v>10.050000000000001</v>
      </c>
      <c r="T75" s="5">
        <f t="shared" si="17"/>
        <v>10.199999999999999</v>
      </c>
      <c r="U75" s="5">
        <f t="shared" si="18"/>
        <v>10.25</v>
      </c>
      <c r="V75" s="5">
        <f t="shared" si="19"/>
        <v>10.039999999999999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1275</v>
      </c>
      <c r="D76" s="3" t="s">
        <v>2058</v>
      </c>
      <c r="E76" s="3" t="s">
        <v>2059</v>
      </c>
      <c r="F76" s="3" t="s">
        <v>2060</v>
      </c>
      <c r="G76" s="3" t="s">
        <v>2061</v>
      </c>
      <c r="H76" s="51">
        <v>41705</v>
      </c>
      <c r="J76" s="3">
        <f t="shared" si="20"/>
        <v>30.39</v>
      </c>
      <c r="K76" s="3">
        <f t="shared" si="20"/>
        <v>30.05</v>
      </c>
      <c r="L76" s="3">
        <f t="shared" si="20"/>
        <v>30.79</v>
      </c>
      <c r="M76" s="3">
        <f t="shared" si="20"/>
        <v>29.96</v>
      </c>
      <c r="P76" s="14" t="s">
        <v>1272</v>
      </c>
      <c r="Q76" s="10" t="str">
        <f t="shared" si="14"/>
        <v xml:space="preserve">WEG         -ON  </v>
      </c>
      <c r="R76" s="51">
        <f t="shared" si="15"/>
        <v>41705</v>
      </c>
      <c r="S76" s="5">
        <f t="shared" si="16"/>
        <v>30.39</v>
      </c>
      <c r="T76" s="5">
        <f t="shared" si="17"/>
        <v>30.05</v>
      </c>
      <c r="U76" s="5">
        <f t="shared" si="18"/>
        <v>30.79</v>
      </c>
      <c r="V76" s="5">
        <f t="shared" si="19"/>
        <v>29.96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1278</v>
      </c>
      <c r="D77" s="3" t="s">
        <v>2062</v>
      </c>
      <c r="E77" s="3" t="s">
        <v>1561</v>
      </c>
      <c r="F77" s="3" t="s">
        <v>2062</v>
      </c>
      <c r="G77" s="3" t="s">
        <v>2063</v>
      </c>
      <c r="H77" s="51">
        <v>41705</v>
      </c>
      <c r="J77" s="3">
        <f t="shared" si="20"/>
        <v>20.78</v>
      </c>
      <c r="K77" s="3">
        <f t="shared" si="20"/>
        <v>20.38</v>
      </c>
      <c r="L77" s="3">
        <f t="shared" si="20"/>
        <v>20.78</v>
      </c>
      <c r="M77" s="3">
        <f t="shared" si="20"/>
        <v>20.22</v>
      </c>
      <c r="P77" s="15" t="s">
        <v>1277</v>
      </c>
      <c r="Q77" s="10" t="str">
        <f t="shared" si="14"/>
        <v xml:space="preserve">EMBRAER     -ON  </v>
      </c>
      <c r="R77" s="51">
        <f t="shared" si="15"/>
        <v>41705</v>
      </c>
      <c r="S77" s="5">
        <f t="shared" si="16"/>
        <v>20.78</v>
      </c>
      <c r="T77" s="5">
        <f t="shared" si="17"/>
        <v>20.38</v>
      </c>
      <c r="U77" s="5">
        <f t="shared" si="18"/>
        <v>20.78</v>
      </c>
      <c r="V77" s="5">
        <f t="shared" si="19"/>
        <v>20.22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1282</v>
      </c>
      <c r="D78" s="3" t="s">
        <v>1284</v>
      </c>
      <c r="E78" s="3" t="s">
        <v>1284</v>
      </c>
      <c r="F78" s="3" t="s">
        <v>1284</v>
      </c>
      <c r="G78" s="3" t="s">
        <v>1284</v>
      </c>
      <c r="H78" s="51">
        <v>41705</v>
      </c>
      <c r="J78" s="3">
        <f t="shared" si="20"/>
        <v>0.04</v>
      </c>
      <c r="K78" s="3">
        <f t="shared" si="20"/>
        <v>0.04</v>
      </c>
      <c r="L78" s="3">
        <f t="shared" si="20"/>
        <v>0.04</v>
      </c>
      <c r="M78" s="3">
        <f t="shared" si="20"/>
        <v>0.04</v>
      </c>
      <c r="P78" s="15" t="s">
        <v>1280</v>
      </c>
      <c r="Q78" s="10" t="str">
        <f t="shared" si="14"/>
        <v>COBRASMA    -ON</v>
      </c>
      <c r="R78" s="51">
        <f t="shared" si="15"/>
        <v>41705</v>
      </c>
      <c r="S78" s="5">
        <f t="shared" si="16"/>
        <v>0.04</v>
      </c>
      <c r="T78" s="5">
        <f t="shared" si="17"/>
        <v>0.04</v>
      </c>
      <c r="U78" s="5">
        <f t="shared" si="18"/>
        <v>0.04</v>
      </c>
      <c r="V78" s="5">
        <f t="shared" si="19"/>
        <v>0.04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1283</v>
      </c>
      <c r="D79" s="3" t="s">
        <v>1284</v>
      </c>
      <c r="E79" s="3" t="s">
        <v>1284</v>
      </c>
      <c r="F79" s="3" t="s">
        <v>1284</v>
      </c>
      <c r="G79" s="3" t="s">
        <v>1284</v>
      </c>
      <c r="H79" s="51">
        <v>41705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1281</v>
      </c>
      <c r="Q79" s="10" t="str">
        <f t="shared" si="14"/>
        <v>COBRASMA    -PN</v>
      </c>
      <c r="R79" s="51">
        <f t="shared" si="15"/>
        <v>41705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1302</v>
      </c>
      <c r="D80" s="3" t="s">
        <v>2064</v>
      </c>
      <c r="E80" s="3" t="s">
        <v>2065</v>
      </c>
      <c r="F80" s="3" t="s">
        <v>2066</v>
      </c>
      <c r="G80" s="3" t="s">
        <v>2064</v>
      </c>
      <c r="H80" s="51">
        <v>41705</v>
      </c>
      <c r="J80" s="3">
        <f t="shared" si="20"/>
        <v>15.46</v>
      </c>
      <c r="K80" s="3">
        <f t="shared" si="20"/>
        <v>15.56</v>
      </c>
      <c r="L80" s="3">
        <f t="shared" si="20"/>
        <v>15.73</v>
      </c>
      <c r="M80" s="3">
        <f t="shared" si="20"/>
        <v>15.46</v>
      </c>
      <c r="P80" s="15" t="s">
        <v>1285</v>
      </c>
      <c r="Q80" s="10" t="str">
        <f t="shared" si="14"/>
        <v xml:space="preserve">AUTOMETAL   -ON  </v>
      </c>
      <c r="R80" s="51">
        <f t="shared" si="15"/>
        <v>41705</v>
      </c>
      <c r="S80" s="5">
        <f t="shared" si="16"/>
        <v>15.46</v>
      </c>
      <c r="T80" s="5">
        <f t="shared" si="17"/>
        <v>15.56</v>
      </c>
      <c r="U80" s="5">
        <f t="shared" si="18"/>
        <v>15.73</v>
      </c>
      <c r="V80" s="5">
        <f t="shared" si="19"/>
        <v>15.46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1303</v>
      </c>
      <c r="D81" s="3" t="s">
        <v>426</v>
      </c>
      <c r="E81" s="3" t="s">
        <v>1304</v>
      </c>
      <c r="F81" s="3" t="s">
        <v>1304</v>
      </c>
      <c r="G81" s="3" t="s">
        <v>1304</v>
      </c>
      <c r="H81" s="51">
        <v>41705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1286</v>
      </c>
      <c r="Q81" s="10" t="str">
        <f t="shared" si="14"/>
        <v>D H B       -ON</v>
      </c>
      <c r="R81" s="51">
        <f t="shared" si="15"/>
        <v>41705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1305</v>
      </c>
      <c r="D82" s="3" t="s">
        <v>426</v>
      </c>
      <c r="E82" s="3" t="s">
        <v>1024</v>
      </c>
      <c r="F82" s="3" t="s">
        <v>1024</v>
      </c>
      <c r="G82" s="3" t="s">
        <v>1024</v>
      </c>
      <c r="H82" s="51">
        <v>41705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1287</v>
      </c>
      <c r="Q82" s="10" t="str">
        <f t="shared" si="14"/>
        <v>D H B       -PN</v>
      </c>
      <c r="R82" s="51">
        <f t="shared" si="15"/>
        <v>41705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1319</v>
      </c>
      <c r="D83" s="3" t="s">
        <v>1996</v>
      </c>
      <c r="E83" s="3" t="s">
        <v>2067</v>
      </c>
      <c r="F83" s="3" t="s">
        <v>1475</v>
      </c>
      <c r="G83" s="3" t="s">
        <v>2068</v>
      </c>
      <c r="H83" s="51">
        <v>41705</v>
      </c>
      <c r="J83" s="3">
        <f t="shared" si="20"/>
        <v>23.44</v>
      </c>
      <c r="K83" s="3">
        <f t="shared" si="20"/>
        <v>23.78</v>
      </c>
      <c r="L83" s="3">
        <f t="shared" si="20"/>
        <v>24.09</v>
      </c>
      <c r="M83" s="3">
        <f t="shared" si="20"/>
        <v>23.21</v>
      </c>
      <c r="P83" s="14" t="s">
        <v>1318</v>
      </c>
      <c r="Q83" s="10" t="str">
        <f t="shared" si="14"/>
        <v xml:space="preserve">IOCHP-MAXION-ON  </v>
      </c>
      <c r="R83" s="46">
        <f t="shared" si="15"/>
        <v>41705</v>
      </c>
      <c r="S83" s="6">
        <f t="shared" si="16"/>
        <v>23.44</v>
      </c>
      <c r="T83" s="6">
        <f t="shared" si="17"/>
        <v>23.78</v>
      </c>
      <c r="U83" s="6">
        <f t="shared" si="18"/>
        <v>24.09</v>
      </c>
      <c r="V83" s="6">
        <f t="shared" si="19"/>
        <v>23.21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1306</v>
      </c>
      <c r="D84" s="3" t="s">
        <v>1679</v>
      </c>
      <c r="E84" s="3" t="s">
        <v>2069</v>
      </c>
      <c r="F84" s="3" t="s">
        <v>2070</v>
      </c>
      <c r="G84" s="3" t="s">
        <v>2071</v>
      </c>
      <c r="H84" s="51">
        <v>41705</v>
      </c>
      <c r="J84" s="3">
        <f t="shared" si="20"/>
        <v>23.12</v>
      </c>
      <c r="K84" s="3">
        <f t="shared" si="20"/>
        <v>22.81</v>
      </c>
      <c r="L84" s="3">
        <f t="shared" si="20"/>
        <v>23.36</v>
      </c>
      <c r="M84" s="3">
        <f t="shared" si="20"/>
        <v>22.8</v>
      </c>
      <c r="P84" s="43" t="s">
        <v>1289</v>
      </c>
      <c r="Q84" s="10" t="str">
        <f t="shared" si="14"/>
        <v xml:space="preserve">METAL LEVE  -ON  </v>
      </c>
      <c r="R84" s="51">
        <f t="shared" si="15"/>
        <v>41705</v>
      </c>
      <c r="S84" s="5">
        <f t="shared" si="16"/>
        <v>23.12</v>
      </c>
      <c r="T84" s="5">
        <f t="shared" si="17"/>
        <v>22.81</v>
      </c>
      <c r="U84" s="5">
        <f t="shared" si="18"/>
        <v>23.36</v>
      </c>
      <c r="V84" s="5">
        <f t="shared" si="19"/>
        <v>22.8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1307</v>
      </c>
      <c r="D85" s="3" t="s">
        <v>1991</v>
      </c>
      <c r="E85" s="3" t="s">
        <v>2072</v>
      </c>
      <c r="F85" s="3" t="s">
        <v>1991</v>
      </c>
      <c r="G85" s="3" t="s">
        <v>2072</v>
      </c>
      <c r="H85" s="51">
        <v>41705</v>
      </c>
      <c r="J85" s="3">
        <f t="shared" si="20"/>
        <v>4.57</v>
      </c>
      <c r="K85" s="3">
        <f t="shared" si="20"/>
        <v>4.4800000000000004</v>
      </c>
      <c r="L85" s="3">
        <f t="shared" si="20"/>
        <v>4.57</v>
      </c>
      <c r="M85" s="3">
        <f t="shared" si="20"/>
        <v>4.4800000000000004</v>
      </c>
      <c r="P85" s="15" t="s">
        <v>1290</v>
      </c>
      <c r="Q85" s="10" t="str">
        <f t="shared" si="14"/>
        <v xml:space="preserve">MARCOPOLO   -ON  </v>
      </c>
      <c r="R85" s="51">
        <f t="shared" si="15"/>
        <v>41705</v>
      </c>
      <c r="S85" s="5">
        <f t="shared" si="16"/>
        <v>4.57</v>
      </c>
      <c r="T85" s="5">
        <f t="shared" si="17"/>
        <v>4.4800000000000004</v>
      </c>
      <c r="U85" s="5">
        <f t="shared" si="18"/>
        <v>4.57</v>
      </c>
      <c r="V85" s="5">
        <f t="shared" si="19"/>
        <v>4.4800000000000004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1308</v>
      </c>
      <c r="D86" s="3" t="s">
        <v>426</v>
      </c>
      <c r="E86" s="3" t="s">
        <v>427</v>
      </c>
      <c r="F86" s="3" t="s">
        <v>426</v>
      </c>
      <c r="G86" s="3" t="s">
        <v>426</v>
      </c>
      <c r="H86" s="51" t="s">
        <v>426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1292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1309</v>
      </c>
      <c r="D87" s="3" t="s">
        <v>426</v>
      </c>
      <c r="E87" s="3" t="s">
        <v>1310</v>
      </c>
      <c r="F87" s="3" t="s">
        <v>1310</v>
      </c>
      <c r="G87" s="3" t="s">
        <v>1310</v>
      </c>
      <c r="H87" s="51">
        <v>41705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1293</v>
      </c>
      <c r="Q87" s="10" t="str">
        <f t="shared" si="14"/>
        <v>RIOSULENSE  -PN</v>
      </c>
      <c r="R87" s="51">
        <f t="shared" si="15"/>
        <v>41705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1311</v>
      </c>
      <c r="D88" s="3" t="s">
        <v>1364</v>
      </c>
      <c r="E88" s="3" t="s">
        <v>719</v>
      </c>
      <c r="F88" s="3" t="s">
        <v>719</v>
      </c>
      <c r="G88" s="3" t="s">
        <v>1364</v>
      </c>
      <c r="H88" s="51">
        <v>41705</v>
      </c>
      <c r="J88" s="3">
        <f t="shared" si="20"/>
        <v>0.42</v>
      </c>
      <c r="K88" s="3">
        <f t="shared" si="20"/>
        <v>0.43</v>
      </c>
      <c r="L88" s="3">
        <f t="shared" si="20"/>
        <v>0.43</v>
      </c>
      <c r="M88" s="3">
        <f t="shared" si="20"/>
        <v>0.42</v>
      </c>
      <c r="P88" s="15" t="s">
        <v>1294</v>
      </c>
      <c r="Q88" s="10" t="str">
        <f t="shared" si="14"/>
        <v>PLASCAR PART-ON</v>
      </c>
      <c r="R88" s="51">
        <f t="shared" si="15"/>
        <v>41705</v>
      </c>
      <c r="S88" s="5">
        <f t="shared" si="16"/>
        <v>0.42</v>
      </c>
      <c r="T88" s="5">
        <f t="shared" si="17"/>
        <v>0.43</v>
      </c>
      <c r="U88" s="5">
        <f t="shared" si="18"/>
        <v>0.43</v>
      </c>
      <c r="V88" s="5">
        <f t="shared" si="19"/>
        <v>0.42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1312</v>
      </c>
      <c r="D89" s="3" t="s">
        <v>2073</v>
      </c>
      <c r="E89" s="3" t="s">
        <v>2073</v>
      </c>
      <c r="F89" s="3" t="s">
        <v>2073</v>
      </c>
      <c r="G89" s="3" t="s">
        <v>2073</v>
      </c>
      <c r="H89" s="51">
        <v>41705</v>
      </c>
      <c r="J89" s="3">
        <f t="shared" si="20"/>
        <v>7.24</v>
      </c>
      <c r="K89" s="3">
        <f t="shared" si="20"/>
        <v>7.24</v>
      </c>
      <c r="L89" s="3">
        <f t="shared" si="20"/>
        <v>7.24</v>
      </c>
      <c r="M89" s="3">
        <f t="shared" si="20"/>
        <v>7.24</v>
      </c>
      <c r="P89" s="10" t="s">
        <v>1295</v>
      </c>
      <c r="Q89" s="10" t="str">
        <f t="shared" si="14"/>
        <v xml:space="preserve">RANDON PART -ON  </v>
      </c>
      <c r="R89" s="51">
        <f t="shared" si="15"/>
        <v>41705</v>
      </c>
      <c r="S89" s="5">
        <f t="shared" si="16"/>
        <v>7.24</v>
      </c>
      <c r="T89" s="5">
        <f t="shared" si="17"/>
        <v>7.24</v>
      </c>
      <c r="U89" s="5">
        <f t="shared" si="18"/>
        <v>7.24</v>
      </c>
      <c r="V89" s="5">
        <f t="shared" si="19"/>
        <v>7.24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1313</v>
      </c>
      <c r="D90" s="3" t="s">
        <v>1439</v>
      </c>
      <c r="E90" s="3" t="s">
        <v>1025</v>
      </c>
      <c r="F90" s="3" t="s">
        <v>2074</v>
      </c>
      <c r="G90" s="3" t="s">
        <v>2075</v>
      </c>
      <c r="H90" s="51">
        <v>41705</v>
      </c>
      <c r="J90" s="3">
        <f t="shared" si="20"/>
        <v>8.25</v>
      </c>
      <c r="K90" s="3">
        <f t="shared" si="20"/>
        <v>8.1999999999999993</v>
      </c>
      <c r="L90" s="3">
        <f t="shared" si="20"/>
        <v>8.31</v>
      </c>
      <c r="M90" s="3">
        <f t="shared" si="20"/>
        <v>8.1300000000000008</v>
      </c>
      <c r="P90" s="10" t="s">
        <v>1296</v>
      </c>
      <c r="Q90" s="10" t="str">
        <f t="shared" si="14"/>
        <v xml:space="preserve">RANDON PART -PN  </v>
      </c>
      <c r="R90" s="51">
        <f t="shared" si="15"/>
        <v>41705</v>
      </c>
      <c r="S90" s="5">
        <f t="shared" si="16"/>
        <v>8.25</v>
      </c>
      <c r="T90" s="5">
        <f t="shared" si="17"/>
        <v>8.1999999999999993</v>
      </c>
      <c r="U90" s="5">
        <f t="shared" si="18"/>
        <v>8.31</v>
      </c>
      <c r="V90" s="5">
        <f t="shared" si="19"/>
        <v>8.1300000000000008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1314</v>
      </c>
      <c r="D91" s="3" t="s">
        <v>772</v>
      </c>
      <c r="E91" s="3" t="s">
        <v>772</v>
      </c>
      <c r="F91" s="3" t="s">
        <v>772</v>
      </c>
      <c r="G91" s="3" t="s">
        <v>772</v>
      </c>
      <c r="H91" s="51">
        <v>41705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1297</v>
      </c>
      <c r="Q91" s="10" t="str">
        <f t="shared" si="14"/>
        <v>RECRUSUL    -ON</v>
      </c>
      <c r="R91" s="51">
        <f t="shared" si="15"/>
        <v>41705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1315</v>
      </c>
      <c r="D92" s="3" t="s">
        <v>1389</v>
      </c>
      <c r="E92" s="3" t="s">
        <v>1451</v>
      </c>
      <c r="F92" s="3" t="s">
        <v>1389</v>
      </c>
      <c r="G92" s="3" t="s">
        <v>2076</v>
      </c>
      <c r="H92" s="51">
        <v>41705</v>
      </c>
      <c r="J92" s="3">
        <f t="shared" si="20"/>
        <v>18.559999999999999</v>
      </c>
      <c r="K92" s="3">
        <f t="shared" si="20"/>
        <v>17.739999999999998</v>
      </c>
      <c r="L92" s="3">
        <f t="shared" si="20"/>
        <v>18.559999999999999</v>
      </c>
      <c r="M92" s="3">
        <f t="shared" si="20"/>
        <v>17.690000000000001</v>
      </c>
      <c r="P92" s="16" t="s">
        <v>1299</v>
      </c>
      <c r="Q92" s="10" t="str">
        <f t="shared" si="14"/>
        <v xml:space="preserve">TUPY        -ON  </v>
      </c>
      <c r="R92" s="51">
        <f t="shared" si="15"/>
        <v>41705</v>
      </c>
      <c r="S92" s="5">
        <f t="shared" si="16"/>
        <v>18.559999999999999</v>
      </c>
      <c r="T92" s="5">
        <f t="shared" si="17"/>
        <v>17.739999999999998</v>
      </c>
      <c r="U92" s="5">
        <f t="shared" si="18"/>
        <v>18.559999999999999</v>
      </c>
      <c r="V92" s="5">
        <f t="shared" si="19"/>
        <v>17.690000000000001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1316</v>
      </c>
      <c r="D93" s="3" t="s">
        <v>426</v>
      </c>
      <c r="E93" s="3" t="s">
        <v>185</v>
      </c>
      <c r="F93" s="3" t="s">
        <v>185</v>
      </c>
      <c r="G93" s="3" t="s">
        <v>185</v>
      </c>
      <c r="H93" s="51">
        <v>41705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1300</v>
      </c>
      <c r="Q93" s="10" t="str">
        <f t="shared" si="14"/>
        <v>WETZEL S/A  -ON</v>
      </c>
      <c r="R93" s="51">
        <f t="shared" si="15"/>
        <v>41705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1317</v>
      </c>
      <c r="D94" s="3" t="s">
        <v>1377</v>
      </c>
      <c r="E94" s="3" t="s">
        <v>2077</v>
      </c>
      <c r="F94" s="3" t="s">
        <v>2077</v>
      </c>
      <c r="G94" s="3" t="s">
        <v>1377</v>
      </c>
      <c r="H94" s="51">
        <v>41705</v>
      </c>
      <c r="J94" s="3">
        <f t="shared" si="20"/>
        <v>1.45</v>
      </c>
      <c r="K94" s="3">
        <f t="shared" si="20"/>
        <v>1.5</v>
      </c>
      <c r="L94" s="3">
        <f t="shared" si="20"/>
        <v>1.5</v>
      </c>
      <c r="M94" s="3">
        <f t="shared" si="20"/>
        <v>1.45</v>
      </c>
      <c r="P94" s="14" t="s">
        <v>1301</v>
      </c>
      <c r="Q94" s="10" t="str">
        <f t="shared" si="14"/>
        <v>WETZEL S/A  -PN</v>
      </c>
      <c r="R94" s="51">
        <f t="shared" si="15"/>
        <v>41705</v>
      </c>
      <c r="S94" s="5">
        <f t="shared" si="16"/>
        <v>1.45</v>
      </c>
      <c r="T94" s="5">
        <f t="shared" si="17"/>
        <v>1.5</v>
      </c>
      <c r="U94" s="5">
        <f t="shared" si="18"/>
        <v>1.5</v>
      </c>
      <c r="V94" s="5">
        <f t="shared" si="19"/>
        <v>1.45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1321</v>
      </c>
      <c r="D95" s="3" t="s">
        <v>2078</v>
      </c>
      <c r="E95" s="3" t="s">
        <v>2078</v>
      </c>
      <c r="F95" s="3" t="s">
        <v>2078</v>
      </c>
      <c r="G95" s="3" t="s">
        <v>2078</v>
      </c>
      <c r="H95" s="51">
        <v>41705</v>
      </c>
      <c r="J95" s="3">
        <f t="shared" si="20"/>
        <v>4.59</v>
      </c>
      <c r="K95" s="3">
        <f t="shared" si="20"/>
        <v>4.59</v>
      </c>
      <c r="L95" s="3">
        <f t="shared" si="20"/>
        <v>4.59</v>
      </c>
      <c r="M95" s="3">
        <f t="shared" si="20"/>
        <v>4.59</v>
      </c>
      <c r="P95" s="14" t="s">
        <v>1288</v>
      </c>
      <c r="Q95" s="10" t="str">
        <f t="shared" si="14"/>
        <v xml:space="preserve">FRAS-LE     -ON  </v>
      </c>
      <c r="R95" s="51">
        <f t="shared" si="15"/>
        <v>41705</v>
      </c>
      <c r="S95" s="5">
        <f t="shared" si="16"/>
        <v>4.59</v>
      </c>
      <c r="T95" s="5">
        <f t="shared" si="17"/>
        <v>4.59</v>
      </c>
      <c r="U95" s="5">
        <f t="shared" si="18"/>
        <v>4.59</v>
      </c>
      <c r="V95" s="5">
        <f t="shared" si="19"/>
        <v>4.59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1322</v>
      </c>
      <c r="D96" s="3" t="s">
        <v>2079</v>
      </c>
      <c r="E96" s="3" t="s">
        <v>2080</v>
      </c>
      <c r="F96" s="3" t="s">
        <v>2079</v>
      </c>
      <c r="G96" s="3" t="s">
        <v>1477</v>
      </c>
      <c r="H96" s="51">
        <v>41705</v>
      </c>
      <c r="J96" s="3">
        <f t="shared" si="20"/>
        <v>4.71</v>
      </c>
      <c r="K96" s="3">
        <f t="shared" si="20"/>
        <v>4.66</v>
      </c>
      <c r="L96" s="3">
        <f t="shared" si="20"/>
        <v>4.71</v>
      </c>
      <c r="M96" s="3">
        <f t="shared" si="20"/>
        <v>4.6399999999999997</v>
      </c>
      <c r="P96" s="14" t="s">
        <v>1291</v>
      </c>
      <c r="Q96" s="10" t="str">
        <f t="shared" si="14"/>
        <v xml:space="preserve">MARCOPOLO   -PN  </v>
      </c>
      <c r="R96" s="51">
        <f t="shared" si="15"/>
        <v>41705</v>
      </c>
      <c r="S96" s="5">
        <f t="shared" si="16"/>
        <v>4.71</v>
      </c>
      <c r="T96" s="5">
        <f t="shared" si="17"/>
        <v>4.66</v>
      </c>
      <c r="U96" s="5">
        <f t="shared" si="18"/>
        <v>4.71</v>
      </c>
      <c r="V96" s="5">
        <f t="shared" si="19"/>
        <v>4.6399999999999997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1323</v>
      </c>
      <c r="D97" s="3" t="s">
        <v>772</v>
      </c>
      <c r="E97" s="3" t="s">
        <v>772</v>
      </c>
      <c r="F97" s="3" t="s">
        <v>772</v>
      </c>
      <c r="G97" s="3" t="s">
        <v>772</v>
      </c>
      <c r="H97" s="51">
        <v>41705</v>
      </c>
      <c r="J97" s="3">
        <f t="shared" si="20"/>
        <v>7.0000000000000007E-2</v>
      </c>
      <c r="K97" s="3">
        <f t="shared" si="20"/>
        <v>7.0000000000000007E-2</v>
      </c>
      <c r="L97" s="3">
        <f t="shared" si="20"/>
        <v>7.0000000000000007E-2</v>
      </c>
      <c r="M97" s="3">
        <f t="shared" si="20"/>
        <v>7.0000000000000007E-2</v>
      </c>
      <c r="P97" s="10" t="s">
        <v>1298</v>
      </c>
      <c r="Q97" s="10" t="str">
        <f t="shared" si="14"/>
        <v>RECRUSUL    -PN</v>
      </c>
      <c r="R97" s="51">
        <f t="shared" si="15"/>
        <v>41705</v>
      </c>
      <c r="S97" s="5">
        <f t="shared" si="16"/>
        <v>7.0000000000000007E-2</v>
      </c>
      <c r="T97" s="5">
        <f t="shared" si="17"/>
        <v>7.0000000000000007E-2</v>
      </c>
      <c r="U97" s="5">
        <f t="shared" si="18"/>
        <v>7.0000000000000007E-2</v>
      </c>
      <c r="V97" s="5">
        <f t="shared" si="19"/>
        <v>7.0000000000000007E-2</v>
      </c>
    </row>
    <row r="98" spans="1:22">
      <c r="A98" s="33" t="str">
        <f>IF(Tabela17683[[#This Row],[Código]]="IBOV","^BVSP",IF(Tabela17683[[#This Row],[Código]]="","",CONCATENATE(LEFT(Tabela17683[[#This Row],[Código]],6),".SA")))</f>
        <v/>
      </c>
      <c r="C98" s="3" t="s">
        <v>101</v>
      </c>
      <c r="H98" s="51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1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300</v>
      </c>
      <c r="B1" s="70" t="s">
        <v>382</v>
      </c>
      <c r="C1" s="70" t="s">
        <v>383</v>
      </c>
      <c r="D1" s="70" t="s">
        <v>384</v>
      </c>
      <c r="E1" s="31" t="s">
        <v>374</v>
      </c>
      <c r="F1" s="71" t="s">
        <v>303</v>
      </c>
      <c r="G1" s="71" t="s">
        <v>301</v>
      </c>
      <c r="H1" s="71" t="s">
        <v>302</v>
      </c>
      <c r="I1" s="71" t="s">
        <v>385</v>
      </c>
      <c r="J1" s="12" t="s">
        <v>386</v>
      </c>
      <c r="K1" s="65" t="s">
        <v>375</v>
      </c>
      <c r="L1" s="66" t="s">
        <v>376</v>
      </c>
      <c r="M1" s="66" t="s">
        <v>377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304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768</v>
      </c>
      <c r="B4" t="s">
        <v>378</v>
      </c>
      <c r="C4" t="s">
        <v>379</v>
      </c>
      <c r="D4" t="s">
        <v>387</v>
      </c>
      <c r="E4" t="s">
        <v>388</v>
      </c>
      <c r="F4" t="s">
        <v>380</v>
      </c>
      <c r="G4" t="s">
        <v>381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769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898</v>
      </c>
      <c r="B1" s="97" t="s">
        <v>899</v>
      </c>
      <c r="C1" s="97" t="s">
        <v>303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900</v>
      </c>
      <c r="B1" s="97" t="s">
        <v>901</v>
      </c>
      <c r="C1" s="97" t="s">
        <v>83</v>
      </c>
      <c r="D1" s="97" t="s">
        <v>903</v>
      </c>
      <c r="E1" s="97" t="s">
        <v>904</v>
      </c>
      <c r="F1" s="97" t="s">
        <v>905</v>
      </c>
      <c r="G1" s="97" t="s">
        <v>906</v>
      </c>
      <c r="H1" s="97" t="s">
        <v>907</v>
      </c>
      <c r="I1">
        <v>4</v>
      </c>
    </row>
    <row r="2" spans="1:9">
      <c r="A2" t="s">
        <v>902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908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909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2104</vt:i4>
      </vt:variant>
    </vt:vector>
  </HeadingPairs>
  <TitlesOfParts>
    <vt:vector size="2114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'Cotacao 2'!DadosExternos_265</vt:lpstr>
      <vt:lpstr>'Cotacao 3'!DadosExternos_265</vt:lpstr>
      <vt:lpstr>'Cotacao 4'!DadosExternos_265</vt:lpstr>
      <vt:lpstr>'Cotacao 5'!DadosExternos_265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3'!DadosExternos_388</vt:lpstr>
      <vt:lpstr>'Cotacao 4'!DadosExternos_388</vt:lpstr>
      <vt:lpstr>'Cotacao 5'!DadosExternos_388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4'!DadosExternos_478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2014-03-07T19:31:49Z</dcterms:modified>
</cp:coreProperties>
</file>