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D15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U2" i="1" l="1"/>
  <c r="U3" i="1"/>
  <c r="U4" i="1"/>
  <c r="U6" i="1"/>
  <c r="U7" i="1"/>
  <c r="U8" i="1"/>
  <c r="U9" i="1"/>
  <c r="U11" i="1"/>
  <c r="U12" i="1"/>
  <c r="U13" i="1"/>
  <c r="U14" i="1"/>
  <c r="U15" i="1"/>
  <c r="I13" i="1"/>
  <c r="J13" i="1" s="1"/>
  <c r="L13" i="1"/>
  <c r="Y13" i="1" s="1"/>
  <c r="Q13" i="1"/>
  <c r="S13" i="1" s="1"/>
  <c r="Z13" i="1"/>
  <c r="I14" i="1"/>
  <c r="J14" i="1" s="1"/>
  <c r="L14" i="1"/>
  <c r="Y14" i="1" s="1"/>
  <c r="Q14" i="1"/>
  <c r="R14" i="1" s="1"/>
  <c r="Z14" i="1"/>
  <c r="I15" i="1"/>
  <c r="J15" i="1" s="1"/>
  <c r="L15" i="1"/>
  <c r="Y15" i="1" s="1"/>
  <c r="Q15" i="1"/>
  <c r="S15" i="1" s="1"/>
  <c r="Z15" i="1"/>
  <c r="I11" i="1"/>
  <c r="J11" i="1" s="1"/>
  <c r="L11" i="1"/>
  <c r="Q11" i="1"/>
  <c r="S11" i="1" s="1"/>
  <c r="Y11" i="1"/>
  <c r="Z11" i="1"/>
  <c r="AB11" i="1"/>
  <c r="I12" i="1"/>
  <c r="J12" i="1" s="1"/>
  <c r="L12" i="1"/>
  <c r="Q12" i="1"/>
  <c r="S12" i="1" s="1"/>
  <c r="Y12" i="1"/>
  <c r="Z12" i="1"/>
  <c r="AB12" i="1"/>
  <c r="I9" i="1"/>
  <c r="J9" i="1" s="1"/>
  <c r="L9" i="1"/>
  <c r="Q9" i="1"/>
  <c r="R9" i="1" s="1"/>
  <c r="Y9" i="1"/>
  <c r="Z9" i="1"/>
  <c r="AB9" i="1"/>
  <c r="I10" i="1"/>
  <c r="J10" i="1" s="1"/>
  <c r="L10" i="1"/>
  <c r="Y10" i="1" s="1"/>
  <c r="Q10" i="1"/>
  <c r="S10" i="1" s="1"/>
  <c r="Z10" i="1"/>
  <c r="I7" i="1"/>
  <c r="J7" i="1" s="1"/>
  <c r="L7" i="1"/>
  <c r="Q7" i="1"/>
  <c r="S7" i="1" s="1"/>
  <c r="Y7" i="1"/>
  <c r="Z7" i="1"/>
  <c r="AB7" i="1"/>
  <c r="I8" i="1"/>
  <c r="J8" i="1" s="1"/>
  <c r="L8" i="1"/>
  <c r="Y8" i="1" s="1"/>
  <c r="Q8" i="1"/>
  <c r="S8" i="1" s="1"/>
  <c r="Z8" i="1"/>
  <c r="I6" i="1"/>
  <c r="J6" i="1" s="1"/>
  <c r="L6" i="1"/>
  <c r="Y6" i="1" s="1"/>
  <c r="Q6" i="1"/>
  <c r="R6" i="1" s="1"/>
  <c r="Z6" i="1"/>
  <c r="A16" i="1"/>
  <c r="S6" i="1" l="1"/>
  <c r="R7" i="1"/>
  <c r="R11" i="1"/>
  <c r="R8" i="1"/>
  <c r="R13" i="1"/>
  <c r="R10" i="1"/>
  <c r="S9" i="1"/>
  <c r="S14" i="1"/>
  <c r="R12" i="1"/>
  <c r="R15" i="1"/>
  <c r="AB2" i="1"/>
  <c r="AB3" i="1"/>
  <c r="AB4" i="1"/>
  <c r="I2" i="1"/>
  <c r="I3" i="1"/>
  <c r="I4" i="1"/>
  <c r="J4" i="1" s="1"/>
  <c r="I5" i="1"/>
  <c r="J5" i="1" s="1"/>
  <c r="L5" i="1"/>
  <c r="Y5" i="1" s="1"/>
  <c r="Q5" i="1"/>
  <c r="R5" i="1" s="1"/>
  <c r="Z5" i="1"/>
  <c r="L4" i="1"/>
  <c r="Q4" i="1"/>
  <c r="R4" i="1" s="1"/>
  <c r="Y4" i="1"/>
  <c r="Z4" i="1"/>
  <c r="S5" i="1" l="1"/>
  <c r="S4" i="1"/>
  <c r="J3" i="1"/>
  <c r="L3" i="1"/>
  <c r="Q3" i="1"/>
  <c r="Y3" i="1"/>
  <c r="Z3" i="1"/>
  <c r="L2" i="1"/>
  <c r="Q2" i="1"/>
  <c r="S2" i="1" s="1"/>
  <c r="Y2" i="1"/>
  <c r="Z2" i="1"/>
  <c r="K13" i="1" l="1"/>
  <c r="K14" i="1"/>
  <c r="K15" i="1"/>
  <c r="M13" i="1"/>
  <c r="N13" i="1"/>
  <c r="O13" i="1"/>
  <c r="P13" i="1"/>
  <c r="M14" i="1"/>
  <c r="N14" i="1"/>
  <c r="O14" i="1"/>
  <c r="P14" i="1"/>
  <c r="M15" i="1"/>
  <c r="N15" i="1"/>
  <c r="O15" i="1"/>
  <c r="P15" i="1"/>
  <c r="K11" i="1"/>
  <c r="K12" i="1"/>
  <c r="M11" i="1"/>
  <c r="N11" i="1"/>
  <c r="O11" i="1"/>
  <c r="P11" i="1"/>
  <c r="M12" i="1"/>
  <c r="N12" i="1"/>
  <c r="O12" i="1"/>
  <c r="P12" i="1"/>
  <c r="K9" i="1"/>
  <c r="K10" i="1"/>
  <c r="M9" i="1"/>
  <c r="N9" i="1"/>
  <c r="O9" i="1"/>
  <c r="P9" i="1"/>
  <c r="M10" i="1"/>
  <c r="N10" i="1"/>
  <c r="O10" i="1"/>
  <c r="P10" i="1"/>
  <c r="K7" i="1"/>
  <c r="K8" i="1"/>
  <c r="M7" i="1"/>
  <c r="N7" i="1"/>
  <c r="O7" i="1"/>
  <c r="P7" i="1"/>
  <c r="M8" i="1"/>
  <c r="N8" i="1"/>
  <c r="O8" i="1"/>
  <c r="P8" i="1"/>
  <c r="K6" i="1"/>
  <c r="M6" i="1"/>
  <c r="N6" i="1"/>
  <c r="O6" i="1"/>
  <c r="P6" i="1"/>
  <c r="P4" i="1"/>
  <c r="O5" i="1"/>
  <c r="N2" i="1"/>
  <c r="P2" i="1"/>
  <c r="O3" i="1"/>
  <c r="N4" i="1"/>
  <c r="P3" i="1"/>
  <c r="O4" i="1"/>
  <c r="N5" i="1"/>
  <c r="P5" i="1"/>
  <c r="O2" i="1"/>
  <c r="N3" i="1"/>
  <c r="R3" i="1"/>
  <c r="S3" i="1"/>
  <c r="K5" i="1"/>
  <c r="M5" i="1"/>
  <c r="J2" i="1"/>
  <c r="R2" i="1"/>
  <c r="T15" i="1" l="1"/>
  <c r="T14" i="1"/>
  <c r="T13" i="1"/>
  <c r="T12" i="1"/>
  <c r="T11" i="1"/>
  <c r="T10" i="1"/>
  <c r="U10" i="1" s="1"/>
  <c r="T9" i="1"/>
  <c r="T8" i="1"/>
  <c r="T7" i="1"/>
  <c r="T6" i="1"/>
  <c r="T5" i="1"/>
  <c r="U5" i="1" s="1"/>
  <c r="K4" i="1"/>
  <c r="K3" i="1"/>
  <c r="K2" i="1"/>
  <c r="M4" i="1" l="1"/>
  <c r="M3" i="1"/>
  <c r="T3" i="1" s="1"/>
  <c r="M2" i="1"/>
  <c r="V13" i="1" l="1"/>
  <c r="V15" i="1"/>
  <c r="V14" i="1"/>
  <c r="V5" i="1"/>
  <c r="V12" i="1"/>
  <c r="V11" i="1"/>
  <c r="V9" i="1"/>
  <c r="V10" i="1"/>
  <c r="V8" i="1"/>
  <c r="V7" i="1"/>
  <c r="V6" i="1"/>
  <c r="V3" i="1"/>
  <c r="T4" i="1"/>
  <c r="V4" i="1" s="1"/>
  <c r="T2" i="1"/>
  <c r="V2" i="1" s="1"/>
  <c r="Y16" i="1"/>
  <c r="W13" i="1" l="1"/>
  <c r="X13" i="1" s="1"/>
  <c r="AB13" i="1" s="1"/>
  <c r="W14" i="1"/>
  <c r="X14" i="1" s="1"/>
  <c r="AB14" i="1" s="1"/>
  <c r="W15" i="1"/>
  <c r="X15" i="1" s="1"/>
  <c r="AB15" i="1" s="1"/>
  <c r="W11" i="1"/>
  <c r="X11" i="1" s="1"/>
  <c r="W12" i="1"/>
  <c r="X12" i="1" s="1"/>
  <c r="W10" i="1"/>
  <c r="X10" i="1" s="1"/>
  <c r="AB10" i="1" s="1"/>
  <c r="W9" i="1"/>
  <c r="X9" i="1" s="1"/>
  <c r="W7" i="1"/>
  <c r="X7" i="1" s="1"/>
  <c r="W8" i="1"/>
  <c r="X8" i="1" s="1"/>
  <c r="AB8" i="1" s="1"/>
  <c r="W6" i="1"/>
  <c r="X6" i="1" s="1"/>
  <c r="AB6" i="1" s="1"/>
  <c r="W5" i="1"/>
  <c r="W2" i="1"/>
  <c r="W4" i="1"/>
  <c r="W3" i="1"/>
  <c r="X3" i="1" s="1"/>
  <c r="AA13" i="1" l="1"/>
  <c r="AC13" i="1" s="1"/>
  <c r="AA14" i="1"/>
  <c r="AC14" i="1" s="1"/>
  <c r="AA15" i="1"/>
  <c r="AC15" i="1" s="1"/>
  <c r="AA11" i="1"/>
  <c r="AC11" i="1" s="1"/>
  <c r="AA12" i="1"/>
  <c r="AC12" i="1" s="1"/>
  <c r="AA9" i="1"/>
  <c r="AC9" i="1" s="1"/>
  <c r="AA10" i="1"/>
  <c r="AC10" i="1" s="1"/>
  <c r="AA7" i="1"/>
  <c r="AC7" i="1" s="1"/>
  <c r="AA8" i="1"/>
  <c r="AC8" i="1" s="1"/>
  <c r="AA6" i="1"/>
  <c r="AC6" i="1" s="1"/>
  <c r="AA4" i="1"/>
  <c r="AC4" i="1" s="1"/>
  <c r="AA5" i="1"/>
  <c r="AA2" i="1"/>
  <c r="AC2" i="1" s="1"/>
  <c r="AA3" i="1"/>
  <c r="AC3" i="1" s="1"/>
  <c r="X5" i="1"/>
  <c r="AB5" i="1" s="1"/>
  <c r="X2" i="1"/>
  <c r="X4" i="1"/>
  <c r="AC5" i="1" l="1"/>
  <c r="AG9" i="1"/>
  <c r="AG13" i="1"/>
  <c r="AG4" i="1"/>
  <c r="AG5" i="1"/>
  <c r="AG2" i="1"/>
  <c r="AG7" i="1"/>
  <c r="AG6" i="1"/>
  <c r="AG11" i="1"/>
  <c r="AG10" i="1"/>
  <c r="AG15" i="1"/>
  <c r="AG14" i="1"/>
  <c r="AG3" i="1"/>
  <c r="AF13" i="1"/>
  <c r="AG12" i="1"/>
  <c r="AC16" i="1"/>
  <c r="AF3" i="1"/>
  <c r="AF15" i="1" l="1"/>
  <c r="AH15" i="1" s="1"/>
  <c r="AG8" i="1"/>
  <c r="AF14" i="1"/>
  <c r="AH14" i="1" s="1"/>
  <c r="AJ14" i="1" s="1"/>
  <c r="AF4" i="1"/>
  <c r="AH4" i="1" s="1"/>
  <c r="AJ4" i="1" s="1"/>
  <c r="AF7" i="1"/>
  <c r="AH7" i="1" s="1"/>
  <c r="AJ7" i="1" s="1"/>
  <c r="AF8" i="1"/>
  <c r="AF5" i="1"/>
  <c r="AH5" i="1" s="1"/>
  <c r="AJ5" i="1" s="1"/>
  <c r="AF12" i="1"/>
  <c r="AH12" i="1" s="1"/>
  <c r="AJ12" i="1" s="1"/>
  <c r="AF10" i="1"/>
  <c r="AH10" i="1" s="1"/>
  <c r="AJ10" i="1" s="1"/>
  <c r="AF2" i="1"/>
  <c r="AH2" i="1" s="1"/>
  <c r="AJ2" i="1" s="1"/>
  <c r="AF9" i="1"/>
  <c r="AH9" i="1" s="1"/>
  <c r="AJ9" i="1" s="1"/>
  <c r="AF11" i="1"/>
  <c r="AH11" i="1" s="1"/>
  <c r="AJ11" i="1" s="1"/>
  <c r="AF6" i="1"/>
  <c r="AH6" i="1" s="1"/>
  <c r="AJ6" i="1" s="1"/>
  <c r="AH3" i="1"/>
  <c r="AJ3" i="1" s="1"/>
  <c r="AH13" i="1"/>
  <c r="AJ13" i="1" s="1"/>
  <c r="AI15" i="1" l="1"/>
  <c r="AJ15" i="1" s="1"/>
  <c r="AH8" i="1"/>
  <c r="AJ8" i="1" s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<sst xmlns="http://schemas.openxmlformats.org/spreadsheetml/2006/main" count="114" uniqueCount="70">
  <si>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</si>
  <si>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</si>
  <si>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</si>
  <si>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</si>
  <si>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</si>
  <si>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</si>
  <si>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</si>
  <si>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</si>
  <si>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</si>
  <si>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</si>
  <si>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</si>
  <si>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</si>
  <si>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</si>
  <si>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</si>
  <si>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</si>
  <si>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</si>
  <si>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</si>
  <si>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</si>
  <si>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</si>
  <si>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</si>
  <si>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</si>
  <si>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</si>
  <si>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</si>
  <si>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</si>
  <si>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</si>
  <si>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</si>
  <si>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</si>
  <si>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</si>
  <si>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</si>
  <si>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</si>
  <si>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</si>
  <si>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</si>
  <si>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</si>
  <si>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</si>
  <si>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</si>
  <si>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</si>
  <si>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</si>
  <si>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</si>
  <si>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</si>
  <si>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</si>
  <si>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</si>
  <si>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</si>
  <si>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</si>
  <si>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</si>
  <si>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</si>
  <si>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</si>
  <si>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</si>
  <si>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</si>
  <si>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</si>
  <si>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</si>
  <si>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</si>
  <si>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</si>
  <si>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</si>
  <si>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</si>
  <si>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</si>
  <si>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</si>
  <si>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</si>
  <si>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</si>
  <si>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</si>
  <si>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</si>
  <si>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</si>
  <si>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</si>
  <si>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</si>
  <si>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</si>
  <si>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</si>
  <si>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</si>
  <si>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IR DEVIDO N</t>
  </si>
  <si>
    <t>LUCRO TRIB. N</t>
  </si>
  <si>
    <t>LUCRO LÍQUIDO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</si>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</sst>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44" fontId="7" fillId="0" borderId="0" xfId="0" applyNumberFormat="1" applyFont="1" applyAlignme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19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J16" totalsRowCount="1" headerRowDxfId="73" dataDxfId="72" totalsRowDxfId="71">
  <autoFilter ref="A1:AJ15"/>
  <sortState ref="A2:AG8">
    <sortCondition ref="A1:A8"/>
  </sortState>
  <tableColumns count="36">
    <tableColumn id="19" name="ID" totalsRowFunction="max" dataDxfId="70" totalsRowDxfId="36"/>
    <tableColumn id="36" name="U" dataDxfId="39" totalsRowDxfId="35"/>
    <tableColumn id="2" name="ATIVO" dataDxfId="69" totalsRowDxfId="34"/>
    <tableColumn id="3" name="T" dataDxfId="68" totalsRowDxfId="33"/>
    <tableColumn id="4" name="DATA" dataDxfId="67" totalsRowDxfId="32"/>
    <tableColumn id="5" name="QTDE" dataDxfId="66" totalsRowDxfId="31"/>
    <tableColumn id="6" name="PREÇO" dataDxfId="65" totalsRowDxfId="30"/>
    <tableColumn id="7" name="[D/N]" dataDxfId="64" totalsRowDxfId="29"/>
    <tableColumn id="34" name="DATA DE LIQUIDAÇÃO" dataDxfId="63" totalsRowDxfId="28">
      <calculatedColumnFormula>WORKDAY(NC[[#This Row],[DATA]],3,1)</calculatedColumnFormula>
    </tableColumn>
    <tableColumn id="31" name="DATA BASE" dataDxfId="62" totalsRowDxfId="27">
      <calculatedColumnFormula>EOMONTH(NC[[#This Row],[DATA DE LIQUIDAÇÃO]],0)</calculatedColumnFormula>
    </tableColumn>
    <tableColumn id="21" name="PAR" dataDxfId="61" totalsRowDxfId="26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60" totalsRowDxfId="25">
      <calculatedColumnFormula>NC[QTDE]*NC[PREÇO]</calculatedColumnFormula>
    </tableColumn>
    <tableColumn id="9" name="VALOR LÍQUIDO DAS OPERAÇÕES" dataDxfId="59" totalsRowDxfId="24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58" totalsRowDxfId="23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57" totalsRowDxfId="22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56" totalsRowDxfId="21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55" totalsRowDxfId="20">
      <calculatedColumnFormula>SETUP!$E$3*SUMPRODUCT(N(NC[DATA]=NC[[#This Row],[DATA]]),N(NC[ID]&lt;=NC[[#This Row],[ID]]))</calculatedColumnFormula>
    </tableColumn>
    <tableColumn id="13" name="ISS" dataDxfId="54" totalsRowDxfId="19">
      <calculatedColumnFormula>TRUNC(NC[CORRETAGEM]*SETUP!$F$3,2)</calculatedColumnFormula>
    </tableColumn>
    <tableColumn id="15" name="OUTRAS BOVESPA" dataDxfId="53" totalsRowDxfId="18">
      <calculatedColumnFormula>ROUND(NC[CORRETAGEM]*SETUP!$G$3,2)</calculatedColumnFormula>
    </tableColumn>
    <tableColumn id="16" name="LÍQUIDO BASE" dataDxfId="52" totalsRowDxfId="17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51" totalsRowDxfId="16">
      <calculatedColumnFormula>IF(AND(NC['[D/N']]="D",    NC[T]="CV"),    ROUND(NC[LÍQUIDO BASE]*0.01, 2),    0)</calculatedColumnFormula>
    </tableColumn>
    <tableColumn id="35" name="LÍQUIDO" totalsRowDxfId="15">
      <calculatedColumnFormula>NC[LÍQUIDO BASE]-SUMPRODUCT(N(NC[DATA]=NC[[#This Row],[DATA]]),    NC[IRRF FONTE])</calculatedColumnFormula>
    </tableColumn>
    <tableColumn id="17" name="VALOR P/ OP" dataDxfId="50" totalsRowDxfId="14" dataCellStyle="Moeda">
      <calculatedColumnFormula>NC[LÍQUIDO]-SUMPRODUCT(N(NC[DATA]=NC[[#This Row],[DATA]]),N(NC[ID]=(NC[[#This Row],[ID]]-1)),NC[LÍQUIDO])</calculatedColumnFormula>
    </tableColumn>
    <tableColumn id="18" name="MEDIO P/ OP" dataDxfId="49" totalsRowDxfId="13">
      <calculatedColumnFormula>ABS(W2)/F2</calculatedColumnFormula>
    </tableColumn>
    <tableColumn id="20" name="IRRF" totalsRowFunction="sum" dataDxfId="48" totalsRowDxfId="12">
      <calculatedColumnFormula>TRUNC(IF(OR(NC[T]="CV",NC[T]="VV"),     L2*SETUP!$H$3,     0),2)</calculatedColumnFormula>
    </tableColumn>
    <tableColumn id="24" name="SALDO" dataDxfId="47" totalsRowDxfId="11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46" totalsRowDxfId="10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calculatedColumnFormula>
    </tableColumn>
    <tableColumn id="23" name="MED VD" dataDxfId="45" totalsRowDxfId="9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25" name="LUCRO P/ OP" totalsRowFunction="sum" dataDxfId="40" totalsRowDxfId="8">
      <calculatedColumnFormula>IF(AND(NC[MED CP] &gt; 0, NC[MED VD] &gt; 0), (NC[MED VD] - NC[MED CP]) * NC[QTDE], 0) + NC[IRRF FONTE]</calculatedColumnFormula>
    </tableColumn>
    <tableColumn id="37" name="LUCRO TRIB. N" dataDxfId="38" totalsRowDxfId="7">
      <calculatedColumnFormula>IF(NC[U] = "U", SUMPRODUCT(N(NC[DATA BASE]=NC[[#This Row],[DATA BASE]]), N(NC['[D/N']] = "N"),    NC[LUCRO P/ OP]), 0)</calculatedColumnFormula>
    </tableColumn>
    <tableColumn id="39" name="LUCRO TRIB. DT" dataDxfId="37" totalsRowDxfId="6">
      <calculatedColumnFormula>IF(NC[U] = "U", SUMPRODUCT(N(NC[DATA BASE]=NC[[#This Row],[DATA BASE]]), N(NC['[D/N']] = "D"),    NC[LUCRO P/ OP]), 0)</calculatedColumnFormula>
    </tableColumn>
    <tableColumn id="32" name="IR DEVIDO N" dataDxfId="44" totalsRowDxfId="5" dataCellStyle="Moeda">
      <calculatedColumnFormula>IF(NC[LUCRO TRIB. N] &gt; 0,     ROUND(NC[LUCRO TRIB. N]*0.15,    2),    0)</calculatedColumnFormula>
    </tableColumn>
    <tableColumn id="38" name="IR DEVIDO DT" dataDxfId="43" totalsRowDxfId="4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42" totalsRowDxfId="3" dataCellStyle="Moeda">
      <calculatedColumnFormula>NC[IR DEVIDO N] + NC[IR DEVIDO DT]</calculatedColumnFormula>
    </tableColumn>
    <tableColumn id="26" name="RESGATE" dataDxfId="0" totalsRowDxfId="2" dataCellStyle="Moeda">
      <calculatedColumnFormula>IF(NC[U] = "U", NC[IR DEVIDO] + 8.9, 0)</calculatedColumnFormula>
    </tableColumn>
    <tableColumn id="27" name="LUCRO LÍQUIDO" dataDxfId="41" totalsRowDxfId="1" dataCellStyle="Moeda">
      <calculatedColumnFormula>NC[LUCRO TRIB. N]  + NC[LUCRO TRIB. DT] - NC[RESGATE]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28</v>
      </c>
      <c r="B3" s="11"/>
    </row>
    <row r="4" spans="1:2" x14ac:dyDescent="0.2">
      <c r="A4" s="8" t="s">
        <v>0</v>
      </c>
      <c r="B4" s="11" t="s">
        <v>27</v>
      </c>
    </row>
    <row r="5" spans="1:2" x14ac:dyDescent="0.2">
      <c r="A5" s="7" t="s">
        <v>23</v>
      </c>
      <c r="B5" s="12">
        <v>-862.45000000000027</v>
      </c>
    </row>
    <row r="6" spans="1:2" x14ac:dyDescent="0.2">
      <c r="A6" s="9" t="s">
        <v>20</v>
      </c>
      <c r="B6" s="13">
        <v>-130.13999999999999</v>
      </c>
    </row>
    <row r="7" spans="1:2" x14ac:dyDescent="0.2">
      <c r="A7" s="9" t="s">
        <v>17</v>
      </c>
      <c r="B7" s="13">
        <v>205.45000000000027</v>
      </c>
    </row>
    <row r="8" spans="1:2" x14ac:dyDescent="0.2">
      <c r="A8" s="9" t="s">
        <v>24</v>
      </c>
      <c r="B8" s="13">
        <v>-1201.19</v>
      </c>
    </row>
    <row r="9" spans="1:2" x14ac:dyDescent="0.2">
      <c r="A9" s="9" t="s">
        <v>8</v>
      </c>
      <c r="B9" s="13">
        <v>-121.93</v>
      </c>
    </row>
    <row r="10" spans="1:2" x14ac:dyDescent="0.2">
      <c r="A10" s="9" t="s">
        <v>19</v>
      </c>
      <c r="B10" s="13">
        <v>-21.560000000000855</v>
      </c>
    </row>
    <row r="11" spans="1:2" x14ac:dyDescent="0.2">
      <c r="A11" s="9" t="s">
        <v>21</v>
      </c>
      <c r="B11" s="13">
        <v>-81.129999999999654</v>
      </c>
    </row>
    <row r="12" spans="1:2" x14ac:dyDescent="0.2">
      <c r="A12" s="9" t="s">
        <v>6</v>
      </c>
      <c r="B12" s="13">
        <v>-255.90999999999991</v>
      </c>
    </row>
    <row r="13" spans="1:2" x14ac:dyDescent="0.2">
      <c r="A13" s="9" t="s">
        <v>18</v>
      </c>
      <c r="B13" s="13">
        <v>-88.079999999999814</v>
      </c>
    </row>
    <row r="14" spans="1:2" x14ac:dyDescent="0.2">
      <c r="A14" s="9" t="s">
        <v>22</v>
      </c>
      <c r="B14" s="13">
        <v>-150.42000000000007</v>
      </c>
    </row>
    <row r="15" spans="1:2" x14ac:dyDescent="0.2">
      <c r="A15" s="9" t="s">
        <v>25</v>
      </c>
      <c r="B15" s="13"/>
    </row>
    <row r="16" spans="1:2" x14ac:dyDescent="0.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6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D15" sqref="AD15"/>
    </sheetView>
  </sheetViews>
  <sheetFormatPr defaultColWidth="11.5703125" defaultRowHeight="11.25" x14ac:dyDescent="0.2"/>
  <cols>
    <col min="1" max="1" width="4.7109375" style="15" bestFit="1" customWidth="1"/>
    <col min="2" max="2" width="4.28515625" style="15" bestFit="1" customWidth="1"/>
    <col min="3" max="3" width="7.425781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7.140625" style="15" bestFit="1" customWidth="1"/>
    <col min="9" max="9" width="10.5703125" style="15" hidden="1" customWidth="1"/>
    <col min="10" max="10" width="5.8554687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hidden="1" customWidth="1"/>
    <col min="21" max="21" width="10.5703125" style="15" bestFit="1" customWidth="1"/>
    <col min="22" max="22" width="9" style="15" bestFit="1" customWidth="1"/>
    <col min="23" max="23" width="11.85546875" style="15" customWidth="1"/>
    <col min="24" max="24" width="11.8554687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11.7109375" style="15" hidden="1" customWidth="1"/>
    <col min="29" max="29" width="13.28515625" style="15" bestFit="1" customWidth="1"/>
    <col min="30" max="30" width="12.5703125" style="15" bestFit="1" customWidth="1"/>
    <col min="31" max="31" width="13.28515625" style="15" bestFit="1" customWidth="1"/>
    <col min="32" max="32" width="11.28515625" style="15" bestFit="1" customWidth="1"/>
    <col min="33" max="33" width="12" style="15" bestFit="1" customWidth="1"/>
    <col min="34" max="34" width="10" style="15" bestFit="1" customWidth="1"/>
    <col min="35" max="35" width="9" style="15" bestFit="1" customWidth="1"/>
    <col min="36" max="36" width="13.7109375" style="15" bestFit="1" customWidth="1"/>
    <col min="37" max="16384" width="11.5703125" style="15"/>
  </cols>
  <sheetData>
    <row r="1" spans="1:36" s="18" customFormat="1" x14ac:dyDescent="0.2">
      <c r="A1" s="18" t="s">
        <v>30</v>
      </c>
      <c r="B1" s="18" t="s">
        <v>69</v>
      </c>
      <c r="C1" s="18" t="s">
        <v>0</v>
      </c>
      <c r="D1" s="18" t="s">
        <v>60</v>
      </c>
      <c r="E1" s="18" t="s">
        <v>29</v>
      </c>
      <c r="F1" s="18" t="s">
        <v>1</v>
      </c>
      <c r="G1" s="18" t="s">
        <v>2</v>
      </c>
      <c r="H1" s="18" t="s">
        <v>3</v>
      </c>
      <c r="I1" s="18" t="s">
        <v>53</v>
      </c>
      <c r="J1" s="18" t="s">
        <v>54</v>
      </c>
      <c r="K1" s="18" t="s">
        <v>35</v>
      </c>
      <c r="L1" s="18" t="s">
        <v>47</v>
      </c>
      <c r="M1" s="18" t="s">
        <v>48</v>
      </c>
      <c r="N1" s="19" t="s">
        <v>49</v>
      </c>
      <c r="O1" s="18" t="s">
        <v>50</v>
      </c>
      <c r="P1" s="18" t="s">
        <v>51</v>
      </c>
      <c r="Q1" s="20" t="s">
        <v>11</v>
      </c>
      <c r="R1" s="18" t="s">
        <v>4</v>
      </c>
      <c r="S1" s="20" t="s">
        <v>52</v>
      </c>
      <c r="T1" s="18" t="s">
        <v>46</v>
      </c>
      <c r="U1" s="20" t="s">
        <v>58</v>
      </c>
      <c r="V1" s="20" t="s">
        <v>5</v>
      </c>
      <c r="W1" s="18" t="s">
        <v>31</v>
      </c>
      <c r="X1" s="18" t="s">
        <v>55</v>
      </c>
      <c r="Y1" s="18" t="s">
        <v>32</v>
      </c>
      <c r="Z1" s="18" t="s">
        <v>36</v>
      </c>
      <c r="AA1" s="18" t="s">
        <v>33</v>
      </c>
      <c r="AB1" s="18" t="s">
        <v>34</v>
      </c>
      <c r="AC1" s="18" t="s">
        <v>62</v>
      </c>
      <c r="AD1" s="18" t="s">
        <v>67</v>
      </c>
      <c r="AE1" s="18" t="s">
        <v>65</v>
      </c>
      <c r="AF1" s="18" t="s">
        <v>66</v>
      </c>
      <c r="AG1" s="18" t="s">
        <v>61</v>
      </c>
      <c r="AH1" s="18" t="s">
        <v>63</v>
      </c>
      <c r="AI1" s="18" t="s">
        <v>64</v>
      </c>
      <c r="AJ1" s="18" t="s">
        <v>68</v>
      </c>
    </row>
    <row r="2" spans="1:36" x14ac:dyDescent="0.2">
      <c r="A2" s="21">
        <v>1</v>
      </c>
      <c r="B2" s="21"/>
      <c r="C2" s="21" t="s">
        <v>42</v>
      </c>
      <c r="D2" s="21" t="s">
        <v>38</v>
      </c>
      <c r="E2" s="22">
        <v>40980</v>
      </c>
      <c r="F2" s="21">
        <v>600</v>
      </c>
      <c r="G2" s="23">
        <v>0.28000000000000003</v>
      </c>
      <c r="H2" s="21" t="s">
        <v>7</v>
      </c>
      <c r="I2" s="22">
        <f>WORKDAY(NC[[#This Row],[DATA]],3,1)</f>
        <v>40983</v>
      </c>
      <c r="J2" s="29">
        <f>EOMONTH(NC[[#This Row],[DATA DE LIQUIDAÇÃO]],0)</f>
        <v>40999</v>
      </c>
      <c r="K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23">
        <f>NC[QTDE]*NC[PREÇO]</f>
        <v>168.00000000000003</v>
      </c>
      <c r="M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23">
        <f>SETUP!$E$3*SUMPRODUCT(N(NC[DATA]=NC[[#This Row],[DATA]]),N(NC[ID]&lt;=NC[[#This Row],[ID]]))</f>
        <v>14.9</v>
      </c>
      <c r="R2" s="23">
        <f>TRUNC(NC[CORRETAGEM]*SETUP!$F$3,2)</f>
        <v>0.28999999999999998</v>
      </c>
      <c r="S2" s="23">
        <f>ROUND(NC[CORRETAGEM]*SETUP!$G$3,2)</f>
        <v>0.57999999999999996</v>
      </c>
      <c r="T2" s="23">
        <f>NC[VALOR LÍQUIDO DAS OPERAÇÕES]-NC[TAXA DE LIQUIDAÇÃO]-NC[EMOLUMENTOS]-NC[TAXA DE REGISTRO]-NC[CORRETAGEM]-NC[ISS]-IF(NC['[D/N']]="D",    0,    NC[OUTRAS BOVESPA])</f>
        <v>-183.98000000000005</v>
      </c>
      <c r="U2" s="23">
        <f>IF(AND(NC['[D/N']]="D",    NC[T]="CV"),    ROUND(NC[LÍQUIDO BASE]*0.01, 2),    0)</f>
        <v>0</v>
      </c>
      <c r="V2" s="23">
        <f>NC[LÍQUIDO BASE]-SUMPRODUCT(N(NC[DATA]=NC[[#This Row],[DATA]]),    NC[IRRF FONTE])</f>
        <v>-183.98000000000005</v>
      </c>
      <c r="W2" s="23">
        <f>NC[LÍQUIDO]-SUMPRODUCT(N(NC[DATA]=NC[[#This Row],[DATA]]),N(NC[ID]=(NC[[#This Row],[ID]]-1)),NC[LÍQUIDO])</f>
        <v>-183.98000000000005</v>
      </c>
      <c r="X2" s="23">
        <f t="shared" ref="X2:X8" si="0">ABS(W2)/F2</f>
        <v>0.30663333333333342</v>
      </c>
      <c r="Y2" s="23">
        <f>TRUNC(IF(OR(NC[T]="CV",NC[T]="VV"),     L2*SETUP!$H$3,     0),2)</f>
        <v>0</v>
      </c>
      <c r="Z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23">
        <f>IF(AND(NC[MED CP] &gt; 0, NC[MED VD] &gt; 0), (NC[MED VD] - NC[MED CP]) * NC[QTDE], 0) + NC[IRRF FONTE]</f>
        <v>0</v>
      </c>
      <c r="AD2" s="23">
        <f>IF(NC[U] = "U", SUMPRODUCT(N(NC[DATA BASE]=NC[[#This Row],[DATA BASE]]), N(NC['[D/N']] = "N"),    NC[LUCRO P/ OP]), 0)</f>
        <v>0</v>
      </c>
      <c r="AE2" s="23">
        <f>IF(NC[U] = "U", SUMPRODUCT(N(NC[DATA BASE]=NC[[#This Row],[DATA BASE]]), N(NC['[D/N']] = "D"),    NC[LUCRO P/ OP]), 0)</f>
        <v>0</v>
      </c>
      <c r="AF2" s="27">
        <f>IF(NC[LUCRO TRIB. N] &gt; 0,     ROUND(NC[LUCRO TRIB. N]*0.15,    2),    0)</f>
        <v>0</v>
      </c>
      <c r="AG2" s="27">
        <f>IF(NC[LUCRO TRIB. DT] &gt; 0,     ROUND(NC[LUCRO TRIB. DT]*0.2,    2)  -  SUMPRODUCT(N(NC[DATA BASE]=NC[[#This Row],[DATA BASE]]),    NC[IRRF FONTE]),    0)</f>
        <v>0</v>
      </c>
      <c r="AH2" s="27">
        <f>NC[IR DEVIDO N] + NC[IR DEVIDO DT]</f>
        <v>0</v>
      </c>
      <c r="AI2" s="27">
        <f>IF(NC[U] = "U", NC[IR DEVIDO] + 8.9, 0)</f>
        <v>0</v>
      </c>
      <c r="AJ2" s="27">
        <f>NC[LUCRO TRIB. N]  + NC[LUCRO TRIB. DT] - NC[RESGATE]</f>
        <v>0</v>
      </c>
    </row>
    <row r="3" spans="1:36" x14ac:dyDescent="0.2">
      <c r="A3" s="21">
        <v>2</v>
      </c>
      <c r="B3" s="21"/>
      <c r="C3" s="21" t="s">
        <v>43</v>
      </c>
      <c r="D3" s="21" t="s">
        <v>38</v>
      </c>
      <c r="E3" s="22">
        <v>40980</v>
      </c>
      <c r="F3" s="21">
        <v>400</v>
      </c>
      <c r="G3" s="23">
        <v>0.4</v>
      </c>
      <c r="H3" s="21" t="s">
        <v>7</v>
      </c>
      <c r="I3" s="22">
        <f>WORKDAY(NC[[#This Row],[DATA]],3,1)</f>
        <v>40983</v>
      </c>
      <c r="J3" s="29">
        <f>EOMONTH(NC[[#This Row],[DATA DE LIQUIDAÇÃO]],0)</f>
        <v>40999</v>
      </c>
      <c r="K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23">
        <f>NC[QTDE]*NC[PREÇO]</f>
        <v>160</v>
      </c>
      <c r="M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23">
        <f>SETUP!$E$3*SUMPRODUCT(N(NC[DATA]=NC[[#This Row],[DATA]]),N(NC[ID]&lt;=NC[[#This Row],[ID]]))</f>
        <v>29.8</v>
      </c>
      <c r="R3" s="23">
        <f>TRUNC(NC[CORRETAGEM]*SETUP!$F$3,2)</f>
        <v>0.59</v>
      </c>
      <c r="S3" s="23">
        <f>ROUND(NC[CORRETAGEM]*SETUP!$G$3,2)</f>
        <v>1.1599999999999999</v>
      </c>
      <c r="T3" s="23">
        <f>NC[VALOR LÍQUIDO DAS OPERAÇÕES]-NC[TAXA DE LIQUIDAÇÃO]-NC[EMOLUMENTOS]-NC[TAXA DE REGISTRO]-NC[CORRETAGEM]-NC[ISS]-IF(NC['[D/N']]="D",    0,    NC[OUTRAS BOVESPA])</f>
        <v>-359.98</v>
      </c>
      <c r="U3" s="23">
        <f>IF(AND(NC['[D/N']]="D",    NC[T]="CV"),    ROUND(NC[LÍQUIDO BASE]*0.01, 2),    0)</f>
        <v>0</v>
      </c>
      <c r="V3" s="23">
        <f>NC[LÍQUIDO BASE]-SUMPRODUCT(N(NC[DATA]=NC[[#This Row],[DATA]]),    NC[IRRF FONTE])</f>
        <v>-359.98</v>
      </c>
      <c r="W3" s="23">
        <f>NC[LÍQUIDO]-SUMPRODUCT(N(NC[DATA]=NC[[#This Row],[DATA]]),N(NC[ID]=(NC[[#This Row],[ID]]-1)),NC[LÍQUIDO])</f>
        <v>-175.99999999999997</v>
      </c>
      <c r="X3" s="23">
        <f t="shared" si="0"/>
        <v>0.43999999999999995</v>
      </c>
      <c r="Y3" s="23">
        <f>TRUNC(IF(OR(NC[T]="CV",NC[T]="VV"),     L3*SETUP!$H$3,     0),2)</f>
        <v>0</v>
      </c>
      <c r="Z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23">
        <f>IF(AND(NC[MED CP] &gt; 0, NC[MED VD] &gt; 0), (NC[MED VD] - NC[MED CP]) * NC[QTDE], 0) + NC[IRRF FONTE]</f>
        <v>0</v>
      </c>
      <c r="AD3" s="23">
        <f>IF(NC[U] = "U", SUMPRODUCT(N(NC[DATA BASE]=NC[[#This Row],[DATA BASE]]), N(NC['[D/N']] = "N"),    NC[LUCRO P/ OP]), 0)</f>
        <v>0</v>
      </c>
      <c r="AE3" s="23">
        <f>IF(NC[U] = "U", SUMPRODUCT(N(NC[DATA BASE]=NC[[#This Row],[DATA BASE]]), N(NC['[D/N']] = "D"),    NC[LUCRO P/ OP]), 0)</f>
        <v>0</v>
      </c>
      <c r="AF3" s="27">
        <f>IF(NC[LUCRO TRIB. N] &gt; 0,     ROUND(NC[LUCRO TRIB. N]*0.15,    2),    0)</f>
        <v>0</v>
      </c>
      <c r="AG3" s="27">
        <f>IF(NC[LUCRO TRIB. DT] &gt; 0,     ROUND(NC[LUCRO TRIB. DT]*0.2,    2)  -  SUMPRODUCT(N(NC[DATA BASE]=NC[[#This Row],[DATA BASE]]),    NC[IRRF FONTE]),    0)</f>
        <v>0</v>
      </c>
      <c r="AH3" s="27">
        <f>NC[IR DEVIDO N] + NC[IR DEVIDO DT]</f>
        <v>0</v>
      </c>
      <c r="AI3" s="27">
        <f>IF(NC[U] = "U", NC[IR DEVIDO] + 8.9, 0)</f>
        <v>0</v>
      </c>
      <c r="AJ3" s="27">
        <f>NC[LUCRO TRIB. N]  + NC[LUCRO TRIB. DT] - NC[RESGATE]</f>
        <v>0</v>
      </c>
    </row>
    <row r="4" spans="1:36" x14ac:dyDescent="0.2">
      <c r="A4" s="21">
        <v>3</v>
      </c>
      <c r="B4" s="21"/>
      <c r="C4" s="21" t="s">
        <v>44</v>
      </c>
      <c r="D4" s="21" t="s">
        <v>38</v>
      </c>
      <c r="E4" s="22">
        <v>40981</v>
      </c>
      <c r="F4" s="21">
        <v>1200</v>
      </c>
      <c r="G4" s="23">
        <v>0.19</v>
      </c>
      <c r="H4" s="21" t="s">
        <v>16</v>
      </c>
      <c r="I4" s="22">
        <f>WORKDAY(NC[[#This Row],[DATA]],3,1)</f>
        <v>40984</v>
      </c>
      <c r="J4" s="29">
        <f>EOMONTH(NC[[#This Row],[DATA DE LIQUIDAÇÃO]],0)</f>
        <v>40999</v>
      </c>
      <c r="K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23">
        <f>NC[QTDE]*NC[PREÇO]</f>
        <v>228</v>
      </c>
      <c r="M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23">
        <f>SETUP!$E$3*SUMPRODUCT(N(NC[DATA]=NC[[#This Row],[DATA]]),N(NC[ID]&lt;=NC[[#This Row],[ID]]))</f>
        <v>14.9</v>
      </c>
      <c r="R4" s="23">
        <f>TRUNC(NC[CORRETAGEM]*SETUP!$F$3,2)</f>
        <v>0.28999999999999998</v>
      </c>
      <c r="S4" s="23">
        <f>ROUND(NC[CORRETAGEM]*SETUP!$G$3,2)</f>
        <v>0.57999999999999996</v>
      </c>
      <c r="T4" s="23">
        <f>NC[VALOR LÍQUIDO DAS OPERAÇÕES]-NC[TAXA DE LIQUIDAÇÃO]-NC[EMOLUMENTOS]-NC[TAXA DE REGISTRO]-NC[CORRETAGEM]-NC[ISS]-IF(NC['[D/N']]="D",    0,    NC[OUTRAS BOVESPA])</f>
        <v>-243.28</v>
      </c>
      <c r="U4" s="23">
        <f>IF(AND(NC['[D/N']]="D",    NC[T]="CV"),    ROUND(NC[LÍQUIDO BASE]*0.01, 2),    0)</f>
        <v>0</v>
      </c>
      <c r="V4" s="23">
        <f>NC[LÍQUIDO BASE]-SUMPRODUCT(N(NC[DATA]=NC[[#This Row],[DATA]]),    NC[IRRF FONTE])</f>
        <v>-245.25</v>
      </c>
      <c r="W4" s="23">
        <f>NC[LÍQUIDO]-SUMPRODUCT(N(NC[DATA]=NC[[#This Row],[DATA]]),N(NC[ID]=(NC[[#This Row],[ID]]-1)),NC[LÍQUIDO])</f>
        <v>-245.25</v>
      </c>
      <c r="X4" s="23">
        <f t="shared" si="0"/>
        <v>0.204375</v>
      </c>
      <c r="Y4" s="23">
        <f>TRUNC(IF(OR(NC[T]="CV",NC[T]="VV"),     L4*SETUP!$H$3,     0),2)</f>
        <v>0</v>
      </c>
      <c r="Z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23">
        <f>IF(AND(NC[MED CP] &gt; 0, NC[MED VD] &gt; 0), (NC[MED VD] - NC[MED CP]) * NC[QTDE], 0) + NC[IRRF FONTE]</f>
        <v>0</v>
      </c>
      <c r="AD4" s="23">
        <f>IF(NC[U] = "U", SUMPRODUCT(N(NC[DATA BASE]=NC[[#This Row],[DATA BASE]]), N(NC['[D/N']] = "N"),    NC[LUCRO P/ OP]), 0)</f>
        <v>0</v>
      </c>
      <c r="AE4" s="23">
        <f>IF(NC[U] = "U", SUMPRODUCT(N(NC[DATA BASE]=NC[[#This Row],[DATA BASE]]), N(NC['[D/N']] = "D"),    NC[LUCRO P/ OP]), 0)</f>
        <v>0</v>
      </c>
      <c r="AF4" s="28">
        <f>IF(NC[LUCRO TRIB. N] &gt; 0,     ROUND(NC[LUCRO TRIB. N]*0.15,    2),    0)</f>
        <v>0</v>
      </c>
      <c r="AG4" s="28">
        <f>IF(NC[LUCRO TRIB. DT] &gt; 0,     ROUND(NC[LUCRO TRIB. DT]*0.2,    2)  -  SUMPRODUCT(N(NC[DATA BASE]=NC[[#This Row],[DATA BASE]]),    NC[IRRF FONTE]),    0)</f>
        <v>0</v>
      </c>
      <c r="AH4" s="27">
        <f>NC[IR DEVIDO N] + NC[IR DEVIDO DT]</f>
        <v>0</v>
      </c>
      <c r="AI4" s="27">
        <f>IF(NC[U] = "U", NC[IR DEVIDO] + 8.9, 0)</f>
        <v>0</v>
      </c>
      <c r="AJ4" s="27">
        <f>NC[LUCRO TRIB. N]  + NC[LUCRO TRIB. DT] - NC[RESGATE]</f>
        <v>0</v>
      </c>
    </row>
    <row r="5" spans="1:36" x14ac:dyDescent="0.2">
      <c r="A5" s="21">
        <v>4</v>
      </c>
      <c r="B5" s="21"/>
      <c r="C5" s="21" t="s">
        <v>44</v>
      </c>
      <c r="D5" s="21" t="s">
        <v>39</v>
      </c>
      <c r="E5" s="22">
        <v>40981</v>
      </c>
      <c r="F5" s="21">
        <v>1200</v>
      </c>
      <c r="G5" s="23">
        <v>0.38</v>
      </c>
      <c r="H5" s="21" t="s">
        <v>16</v>
      </c>
      <c r="I5" s="22">
        <f>WORKDAY(NC[[#This Row],[DATA]],3,1)</f>
        <v>40984</v>
      </c>
      <c r="J5" s="29">
        <f>EOMONTH(NC[[#This Row],[DATA DE LIQUIDAÇÃO]],0)</f>
        <v>40999</v>
      </c>
      <c r="K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23">
        <f>NC[QTDE]*NC[PREÇO]</f>
        <v>456</v>
      </c>
      <c r="M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23">
        <f>SETUP!$E$3*SUMPRODUCT(N(NC[DATA]=NC[[#This Row],[DATA]]),N(NC[ID]&lt;=NC[[#This Row],[ID]]))</f>
        <v>29.8</v>
      </c>
      <c r="R5" s="23">
        <f>TRUNC(NC[CORRETAGEM]*SETUP!$F$3,2)</f>
        <v>0.59</v>
      </c>
      <c r="S5" s="23">
        <f>ROUND(NC[CORRETAGEM]*SETUP!$G$3,2)</f>
        <v>1.1599999999999999</v>
      </c>
      <c r="T5" s="23">
        <f>NC[VALOR LÍQUIDO DAS OPERAÇÕES]-NC[TAXA DE LIQUIDAÇÃO]-NC[EMOLUMENTOS]-NC[TAXA DE REGISTRO]-NC[CORRETAGEM]-NC[ISS]-IF(NC['[D/N']]="D",    0,    NC[OUTRAS BOVESPA])</f>
        <v>197.30999999999997</v>
      </c>
      <c r="U5" s="23">
        <f>IF(AND(NC['[D/N']]="D",    NC[T]="CV"),    ROUND(NC[LÍQUIDO BASE]*0.01, 2),    0)</f>
        <v>1.97</v>
      </c>
      <c r="V5" s="23">
        <f>NC[LÍQUIDO BASE]-SUMPRODUCT(N(NC[DATA]=NC[[#This Row],[DATA]]),    NC[IRRF FONTE])</f>
        <v>195.33999999999997</v>
      </c>
      <c r="W5" s="23">
        <f>NC[LÍQUIDO]-SUMPRODUCT(N(NC[DATA]=NC[[#This Row],[DATA]]),N(NC[ID]=(NC[[#This Row],[ID]]-1)),NC[LÍQUIDO])</f>
        <v>440.59</v>
      </c>
      <c r="X5" s="23">
        <f t="shared" si="0"/>
        <v>0.36715833333333331</v>
      </c>
      <c r="Y5" s="23">
        <f>TRUNC(IF(OR(NC[T]="CV",NC[T]="VV"),     L5*SETUP!$H$3,     0),2)</f>
        <v>0.02</v>
      </c>
      <c r="Z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23">
        <f>IF(AND(NC[MED CP] &gt; 0, NC[MED VD] &gt; 0), (NC[MED VD] - NC[MED CP]) * NC[QTDE], 0) + NC[IRRF FONTE]</f>
        <v>197.30999999999997</v>
      </c>
      <c r="AD5" s="23">
        <f>IF(NC[U] = "U", SUMPRODUCT(N(NC[DATA BASE]=NC[[#This Row],[DATA BASE]]), N(NC['[D/N']] = "N"),    NC[LUCRO P/ OP]), 0)</f>
        <v>0</v>
      </c>
      <c r="AE5" s="23">
        <f>IF(NC[U] = "U", SUMPRODUCT(N(NC[DATA BASE]=NC[[#This Row],[DATA BASE]]), N(NC['[D/N']] = "D"),    NC[LUCRO P/ OP]), 0)</f>
        <v>0</v>
      </c>
      <c r="AF5" s="28">
        <f>IF(NC[LUCRO TRIB. N] &gt; 0,     ROUND(NC[LUCRO TRIB. N]*0.15,    2),    0)</f>
        <v>0</v>
      </c>
      <c r="AG5" s="28">
        <f>IF(NC[LUCRO TRIB. DT] &gt; 0,     ROUND(NC[LUCRO TRIB. DT]*0.2,    2)  -  SUMPRODUCT(N(NC[DATA BASE]=NC[[#This Row],[DATA BASE]]),    NC[IRRF FONTE]),    0)</f>
        <v>0</v>
      </c>
      <c r="AH5" s="27">
        <f>NC[IR DEVIDO N] + NC[IR DEVIDO DT]</f>
        <v>0</v>
      </c>
      <c r="AI5" s="27">
        <f>IF(NC[U] = "U", NC[IR DEVIDO] + 8.9, 0)</f>
        <v>0</v>
      </c>
      <c r="AJ5" s="27">
        <f>NC[LUCRO TRIB. N]  + NC[LUCRO TRIB. DT] - NC[RESGATE]</f>
        <v>0</v>
      </c>
    </row>
    <row r="6" spans="1:36" x14ac:dyDescent="0.2">
      <c r="A6" s="21">
        <v>5</v>
      </c>
      <c r="B6" s="21"/>
      <c r="C6" s="21" t="s">
        <v>43</v>
      </c>
      <c r="D6" s="21" t="s">
        <v>39</v>
      </c>
      <c r="E6" s="22">
        <v>40981</v>
      </c>
      <c r="F6" s="21">
        <v>400</v>
      </c>
      <c r="G6" s="23">
        <v>0.8</v>
      </c>
      <c r="H6" s="21" t="s">
        <v>7</v>
      </c>
      <c r="I6" s="22">
        <f>WORKDAY(NC[[#This Row],[DATA]],3,1)</f>
        <v>40984</v>
      </c>
      <c r="J6" s="29">
        <f>EOMONTH(NC[[#This Row],[DATA DE LIQUIDAÇÃO]],0)</f>
        <v>40999</v>
      </c>
      <c r="K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23">
        <f>NC[QTDE]*NC[PREÇO]</f>
        <v>320</v>
      </c>
      <c r="M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O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23">
        <f>SETUP!$E$3*SUMPRODUCT(N(NC[DATA]=NC[[#This Row],[DATA]]),N(NC[ID]&lt;=NC[[#This Row],[ID]]))</f>
        <v>44.7</v>
      </c>
      <c r="R6" s="23">
        <f>TRUNC(NC[CORRETAGEM]*SETUP!$F$3,2)</f>
        <v>0.89</v>
      </c>
      <c r="S6" s="23">
        <f>ROUND(NC[CORRETAGEM]*SETUP!$G$3,2)</f>
        <v>1.74</v>
      </c>
      <c r="T6" s="23">
        <f>NC[VALOR LÍQUIDO DAS OPERAÇÕES]-NC[TAXA DE LIQUIDAÇÃO]-NC[EMOLUMENTOS]-NC[TAXA DE REGISTRO]-NC[CORRETAGEM]-NC[ISS]-IF(NC['[D/N']]="D",    0,    NC[OUTRAS BOVESPA])</f>
        <v>499.93999999999988</v>
      </c>
      <c r="U6" s="23">
        <f>IF(AND(NC['[D/N']]="D",    NC[T]="CV"),    ROUND(NC[LÍQUIDO BASE]*0.01, 2),    0)</f>
        <v>0</v>
      </c>
      <c r="V6" s="23">
        <f>NC[LÍQUIDO BASE]-SUMPRODUCT(N(NC[DATA]=NC[[#This Row],[DATA]]),    NC[IRRF FONTE])</f>
        <v>497.96999999999986</v>
      </c>
      <c r="W6" s="23">
        <f>NC[LÍQUIDO]-SUMPRODUCT(N(NC[DATA]=NC[[#This Row],[DATA]]),N(NC[ID]=(NC[[#This Row],[ID]]-1)),NC[LÍQUIDO])</f>
        <v>302.62999999999988</v>
      </c>
      <c r="X6" s="23">
        <f t="shared" si="0"/>
        <v>0.75657499999999966</v>
      </c>
      <c r="Y6" s="23">
        <f>TRUNC(IF(OR(NC[T]="CV",NC[T]="VV"),     L6*SETUP!$H$3,     0),2)</f>
        <v>0.01</v>
      </c>
      <c r="Z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23">
        <f>IF(AND(NC[MED CP] &gt; 0, NC[MED VD] &gt; 0), (NC[MED VD] - NC[MED CP]) * NC[QTDE], 0) + NC[IRRF FONTE]</f>
        <v>126.62999999999988</v>
      </c>
      <c r="AD6" s="23">
        <f>IF(NC[U] = "U", SUMPRODUCT(N(NC[DATA BASE]=NC[[#This Row],[DATA BASE]]), N(NC['[D/N']] = "N"),    NC[LUCRO P/ OP]), 0)</f>
        <v>0</v>
      </c>
      <c r="AE6" s="23">
        <f>IF(NC[U] = "U", SUMPRODUCT(N(NC[DATA BASE]=NC[[#This Row],[DATA BASE]]), N(NC['[D/N']] = "D"),    NC[LUCRO P/ OP]), 0)</f>
        <v>0</v>
      </c>
      <c r="AF6" s="28">
        <f>IF(NC[LUCRO TRIB. N] &gt; 0,     ROUND(NC[LUCRO TRIB. N]*0.15,    2),    0)</f>
        <v>0</v>
      </c>
      <c r="AG6" s="28">
        <f>IF(NC[LUCRO TRIB. DT] &gt; 0,     ROUND(NC[LUCRO TRIB. DT]*0.2,    2)  -  SUMPRODUCT(N(NC[DATA BASE]=NC[[#This Row],[DATA BASE]]),    NC[IRRF FONTE]),    0)</f>
        <v>0</v>
      </c>
      <c r="AH6" s="27">
        <f>NC[IR DEVIDO N] + NC[IR DEVIDO DT]</f>
        <v>0</v>
      </c>
      <c r="AI6" s="27">
        <f>IF(NC[U] = "U", NC[IR DEVIDO] + 8.9, 0)</f>
        <v>0</v>
      </c>
      <c r="AJ6" s="27">
        <f>NC[LUCRO TRIB. N]  + NC[LUCRO TRIB. DT] - NC[RESGATE]</f>
        <v>0</v>
      </c>
    </row>
    <row r="7" spans="1:36" x14ac:dyDescent="0.2">
      <c r="A7" s="21">
        <v>6</v>
      </c>
      <c r="B7" s="21"/>
      <c r="C7" s="21" t="s">
        <v>45</v>
      </c>
      <c r="D7" s="21" t="s">
        <v>38</v>
      </c>
      <c r="E7" s="22">
        <v>40981</v>
      </c>
      <c r="F7" s="21">
        <v>200</v>
      </c>
      <c r="G7" s="23">
        <v>0.8</v>
      </c>
      <c r="H7" s="21" t="s">
        <v>7</v>
      </c>
      <c r="I7" s="22">
        <f>WORKDAY(NC[[#This Row],[DATA]],3,1)</f>
        <v>40984</v>
      </c>
      <c r="J7" s="29">
        <f>EOMONTH(NC[[#This Row],[DATA DE LIQUIDAÇÃO]],0)</f>
        <v>40999</v>
      </c>
      <c r="K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7" s="23">
        <f>NC[QTDE]*NC[PREÇO]</f>
        <v>160</v>
      </c>
      <c r="M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23">
        <f>SETUP!$E$3*SUMPRODUCT(N(NC[DATA]=NC[[#This Row],[DATA]]),N(NC[ID]&lt;=NC[[#This Row],[ID]]))</f>
        <v>59.6</v>
      </c>
      <c r="R7" s="23">
        <f>TRUNC(NC[CORRETAGEM]*SETUP!$F$3,2)</f>
        <v>1.19</v>
      </c>
      <c r="S7" s="23">
        <f>ROUND(NC[CORRETAGEM]*SETUP!$G$3,2)</f>
        <v>2.3199999999999998</v>
      </c>
      <c r="T7" s="23">
        <f>NC[VALOR LÍQUIDO DAS OPERAÇÕES]-NC[TAXA DE LIQUIDAÇÃO]-NC[EMOLUMENTOS]-NC[TAXA DE REGISTRO]-NC[CORRETAGEM]-NC[ISS]-IF(NC['[D/N']]="D",    0,    NC[OUTRAS BOVESPA])</f>
        <v>323.95999999999998</v>
      </c>
      <c r="U7" s="23">
        <f>IF(AND(NC['[D/N']]="D",    NC[T]="CV"),    ROUND(NC[LÍQUIDO BASE]*0.01, 2),    0)</f>
        <v>0</v>
      </c>
      <c r="V7" s="23">
        <f>NC[LÍQUIDO BASE]-SUMPRODUCT(N(NC[DATA]=NC[[#This Row],[DATA]]),    NC[IRRF FONTE])</f>
        <v>321.98999999999995</v>
      </c>
      <c r="W7" s="23">
        <f>NC[LÍQUIDO]-SUMPRODUCT(N(NC[DATA]=NC[[#This Row],[DATA]]),N(NC[ID]=(NC[[#This Row],[ID]]-1)),NC[LÍQUIDO])</f>
        <v>-175.9799999999999</v>
      </c>
      <c r="X7" s="23">
        <f t="shared" si="0"/>
        <v>0.87989999999999957</v>
      </c>
      <c r="Y7" s="23">
        <f>TRUNC(IF(OR(NC[T]="CV",NC[T]="VV"),     L7*SETUP!$H$3,     0),2)</f>
        <v>0</v>
      </c>
      <c r="Z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23">
        <f>IF(AND(NC[MED CP] &gt; 0, NC[MED VD] &gt; 0), (NC[MED VD] - NC[MED CP]) * NC[QTDE], 0) + NC[IRRF FONTE]</f>
        <v>0</v>
      </c>
      <c r="AD7" s="23">
        <f>IF(NC[U] = "U", SUMPRODUCT(N(NC[DATA BASE]=NC[[#This Row],[DATA BASE]]), N(NC['[D/N']] = "N"),    NC[LUCRO P/ OP]), 0)</f>
        <v>0</v>
      </c>
      <c r="AE7" s="23">
        <f>IF(NC[U] = "U", SUMPRODUCT(N(NC[DATA BASE]=NC[[#This Row],[DATA BASE]]), N(NC['[D/N']] = "D"),    NC[LUCRO P/ OP]), 0)</f>
        <v>0</v>
      </c>
      <c r="AF7" s="28">
        <f>IF(NC[LUCRO TRIB. N] &gt; 0,     ROUND(NC[LUCRO TRIB. N]*0.15,    2),    0)</f>
        <v>0</v>
      </c>
      <c r="AG7" s="28">
        <f>IF(NC[LUCRO TRIB. DT] &gt; 0,     ROUND(NC[LUCRO TRIB. DT]*0.2,    2)  -  SUMPRODUCT(N(NC[DATA BASE]=NC[[#This Row],[DATA BASE]]),    NC[IRRF FONTE]),    0)</f>
        <v>0</v>
      </c>
      <c r="AH7" s="27">
        <f>NC[IR DEVIDO N] + NC[IR DEVIDO DT]</f>
        <v>0</v>
      </c>
      <c r="AI7" s="27">
        <f>IF(NC[U] = "U", NC[IR DEVIDO] + 8.9, 0)</f>
        <v>0</v>
      </c>
      <c r="AJ7" s="27">
        <f>NC[LUCRO TRIB. N]  + NC[LUCRO TRIB. DT] - NC[RESGATE]</f>
        <v>0</v>
      </c>
    </row>
    <row r="8" spans="1:36" x14ac:dyDescent="0.2">
      <c r="A8" s="21">
        <v>7</v>
      </c>
      <c r="B8" s="21"/>
      <c r="C8" s="21" t="s">
        <v>42</v>
      </c>
      <c r="D8" s="21" t="s">
        <v>39</v>
      </c>
      <c r="E8" s="22">
        <v>40981</v>
      </c>
      <c r="F8" s="21">
        <v>600</v>
      </c>
      <c r="G8" s="23">
        <v>0.56000000000000005</v>
      </c>
      <c r="H8" s="21" t="s">
        <v>7</v>
      </c>
      <c r="I8" s="22">
        <f>WORKDAY(NC[[#This Row],[DATA]],3,1)</f>
        <v>40984</v>
      </c>
      <c r="J8" s="29">
        <f>EOMONTH(NC[[#This Row],[DATA DE LIQUIDAÇÃO]],0)</f>
        <v>40999</v>
      </c>
      <c r="K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23">
        <f>NC[QTDE]*NC[PREÇO]</f>
        <v>336.00000000000006</v>
      </c>
      <c r="M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O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23">
        <f>SETUP!$E$3*SUMPRODUCT(N(NC[DATA]=NC[[#This Row],[DATA]]),N(NC[ID]&lt;=NC[[#This Row],[ID]]))</f>
        <v>74.5</v>
      </c>
      <c r="R8" s="23">
        <f>TRUNC(NC[CORRETAGEM]*SETUP!$F$3,2)</f>
        <v>1.49</v>
      </c>
      <c r="S8" s="23">
        <f>ROUND(NC[CORRETAGEM]*SETUP!$G$3,2)</f>
        <v>2.91</v>
      </c>
      <c r="T8" s="23">
        <f>NC[VALOR LÍQUIDO DAS OPERAÇÕES]-NC[TAXA DE LIQUIDAÇÃO]-NC[EMOLUMENTOS]-NC[TAXA DE REGISTRO]-NC[CORRETAGEM]-NC[ISS]-IF(NC['[D/N']]="D",    0,    NC[OUTRAS BOVESPA])</f>
        <v>643.72</v>
      </c>
      <c r="U8" s="23">
        <f>IF(AND(NC['[D/N']]="D",    NC[T]="CV"),    ROUND(NC[LÍQUIDO BASE]*0.01, 2),    0)</f>
        <v>0</v>
      </c>
      <c r="V8" s="23">
        <f>NC[LÍQUIDO BASE]-SUMPRODUCT(N(NC[DATA]=NC[[#This Row],[DATA]]),    NC[IRRF FONTE])</f>
        <v>641.75</v>
      </c>
      <c r="W8" s="23">
        <f>NC[LÍQUIDO]-SUMPRODUCT(N(NC[DATA]=NC[[#This Row],[DATA]]),N(NC[ID]=(NC[[#This Row],[ID]]-1)),NC[LÍQUIDO])</f>
        <v>319.76000000000005</v>
      </c>
      <c r="X8" s="23">
        <f t="shared" si="0"/>
        <v>0.53293333333333337</v>
      </c>
      <c r="Y8" s="23">
        <f>TRUNC(IF(OR(NC[T]="CV",NC[T]="VV"),     L8*SETUP!$H$3,     0),2)</f>
        <v>0.01</v>
      </c>
      <c r="Z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23">
        <f>IF(AND(NC[MED CP] &gt; 0, NC[MED VD] &gt; 0), (NC[MED VD] - NC[MED CP]) * NC[QTDE], 0) + NC[IRRF FONTE]</f>
        <v>135.77999999999997</v>
      </c>
      <c r="AD8" s="23">
        <f>IF(NC[U] = "U", SUMPRODUCT(N(NC[DATA BASE]=NC[[#This Row],[DATA BASE]]), N(NC['[D/N']] = "N"),    NC[LUCRO P/ OP]), 0)</f>
        <v>0</v>
      </c>
      <c r="AE8" s="23">
        <f>IF(NC[U] = "U", SUMPRODUCT(N(NC[DATA BASE]=NC[[#This Row],[DATA BASE]]), N(NC['[D/N']] = "D"),    NC[LUCRO P/ OP]), 0)</f>
        <v>0</v>
      </c>
      <c r="AF8" s="28">
        <f>IF(NC[LUCRO TRIB. N] &gt; 0,     ROUND(NC[LUCRO TRIB. N]*0.15,    2),    0)</f>
        <v>0</v>
      </c>
      <c r="AG8" s="28">
        <f>IF(NC[LUCRO TRIB. DT] &gt; 0,     ROUND(NC[LUCRO TRIB. DT]*0.2,    2)  -  SUMPRODUCT(N(NC[DATA BASE]=NC[[#This Row],[DATA BASE]]),    NC[IRRF FONTE]),    0)</f>
        <v>0</v>
      </c>
      <c r="AH8" s="27">
        <f>NC[IR DEVIDO N] + NC[IR DEVIDO DT]</f>
        <v>0</v>
      </c>
      <c r="AI8" s="27">
        <f>IF(NC[U] = "U", NC[IR DEVIDO] + 8.9, 0)</f>
        <v>0</v>
      </c>
      <c r="AJ8" s="27">
        <f>NC[LUCRO TRIB. N]  + NC[LUCRO TRIB. DT] - NC[RESGATE]</f>
        <v>0</v>
      </c>
    </row>
    <row r="9" spans="1:36" x14ac:dyDescent="0.2">
      <c r="A9" s="21">
        <v>8</v>
      </c>
      <c r="B9" s="21"/>
      <c r="C9" s="21" t="s">
        <v>56</v>
      </c>
      <c r="D9" s="21" t="s">
        <v>38</v>
      </c>
      <c r="E9" s="22">
        <v>40982</v>
      </c>
      <c r="F9" s="21">
        <v>2400</v>
      </c>
      <c r="G9" s="23">
        <v>0.13</v>
      </c>
      <c r="H9" s="21" t="s">
        <v>16</v>
      </c>
      <c r="I9" s="22">
        <f>WORKDAY(NC[[#This Row],[DATA]],3,1)</f>
        <v>40987</v>
      </c>
      <c r="J9" s="30">
        <f>EOMONTH(NC[[#This Row],[DATA DE LIQUIDAÇÃO]],0)</f>
        <v>40999</v>
      </c>
      <c r="K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23">
        <f>NC[QTDE]*NC[PREÇO]</f>
        <v>312</v>
      </c>
      <c r="M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23">
        <f>SETUP!$E$3*SUMPRODUCT(N(NC[DATA]=NC[[#This Row],[DATA]]),N(NC[ID]&lt;=NC[[#This Row],[ID]]))</f>
        <v>14.9</v>
      </c>
      <c r="R9" s="23">
        <f>TRUNC(NC[CORRETAGEM]*SETUP!$F$3,2)</f>
        <v>0.28999999999999998</v>
      </c>
      <c r="S9" s="23">
        <f>ROUND(NC[CORRETAGEM]*SETUP!$G$3,2)</f>
        <v>0.57999999999999996</v>
      </c>
      <c r="T9" s="23">
        <f>NC[VALOR LÍQUIDO DAS OPERAÇÕES]-NC[TAXA DE LIQUIDAÇÃO]-NC[EMOLUMENTOS]-NC[TAXA DE REGISTRO]-NC[CORRETAGEM]-NC[ISS]-IF(NC['[D/N']]="D",    0,    NC[OUTRAS BOVESPA])</f>
        <v>-327.31</v>
      </c>
      <c r="U9" s="23">
        <f>IF(AND(NC['[D/N']]="D",    NC[T]="CV"),    ROUND(NC[LÍQUIDO BASE]*0.01, 2),    0)</f>
        <v>0</v>
      </c>
      <c r="V9" s="23">
        <f>NC[LÍQUIDO BASE]-SUMPRODUCT(N(NC[DATA]=NC[[#This Row],[DATA]]),    NC[IRRF FONTE])</f>
        <v>-330.12</v>
      </c>
      <c r="W9" s="23">
        <f>NC[LÍQUIDO]-SUMPRODUCT(N(NC[DATA]=NC[[#This Row],[DATA]]),N(NC[ID]=(NC[[#This Row],[ID]]-1)),NC[LÍQUIDO])</f>
        <v>-330.12</v>
      </c>
      <c r="X9" s="23">
        <f t="shared" ref="X9:X14" si="1">ABS(W9)/F9</f>
        <v>0.13755000000000001</v>
      </c>
      <c r="Y9" s="23">
        <f>TRUNC(IF(OR(NC[T]="CV",NC[T]="VV"),     L9*SETUP!$H$3,     0),2)</f>
        <v>0</v>
      </c>
      <c r="Z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23">
        <f>IF(AND(NC[MED CP] &gt; 0, NC[MED VD] &gt; 0), (NC[MED VD] - NC[MED CP]) * NC[QTDE], 0) + NC[IRRF FONTE]</f>
        <v>0</v>
      </c>
      <c r="AD9" s="23">
        <f>IF(NC[U] = "U", SUMPRODUCT(N(NC[DATA BASE]=NC[[#This Row],[DATA BASE]]), N(NC['[D/N']] = "N"),    NC[LUCRO P/ OP]), 0)</f>
        <v>0</v>
      </c>
      <c r="AE9" s="23">
        <f>IF(NC[U] = "U", SUMPRODUCT(N(NC[DATA BASE]=NC[[#This Row],[DATA BASE]]), N(NC['[D/N']] = "D"),    NC[LUCRO P/ OP]), 0)</f>
        <v>0</v>
      </c>
      <c r="AF9" s="28">
        <f>IF(NC[LUCRO TRIB. N] &gt; 0,     ROUND(NC[LUCRO TRIB. N]*0.15,    2),    0)</f>
        <v>0</v>
      </c>
      <c r="AG9" s="27">
        <f>IF(NC[LUCRO TRIB. DT] &gt; 0,     ROUND(NC[LUCRO TRIB. DT]*0.2,    2)  -  SUMPRODUCT(N(NC[DATA BASE]=NC[[#This Row],[DATA BASE]]),    NC[IRRF FONTE]),    0)</f>
        <v>0</v>
      </c>
      <c r="AH9" s="27">
        <f>NC[IR DEVIDO N] + NC[IR DEVIDO DT]</f>
        <v>0</v>
      </c>
      <c r="AI9" s="27">
        <f>IF(NC[U] = "U", NC[IR DEVIDO] + 8.9, 0)</f>
        <v>0</v>
      </c>
      <c r="AJ9" s="27">
        <f>NC[LUCRO TRIB. N]  + NC[LUCRO TRIB. DT] - NC[RESGATE]</f>
        <v>0</v>
      </c>
    </row>
    <row r="10" spans="1:36" x14ac:dyDescent="0.2">
      <c r="A10" s="21">
        <v>9</v>
      </c>
      <c r="B10" s="21"/>
      <c r="C10" s="21" t="s">
        <v>56</v>
      </c>
      <c r="D10" s="21" t="s">
        <v>39</v>
      </c>
      <c r="E10" s="22">
        <v>40982</v>
      </c>
      <c r="F10" s="21">
        <v>2400</v>
      </c>
      <c r="G10" s="23">
        <v>0.26</v>
      </c>
      <c r="H10" s="21" t="s">
        <v>16</v>
      </c>
      <c r="I10" s="22">
        <f>WORKDAY(NC[[#This Row],[DATA]],3,1)</f>
        <v>40987</v>
      </c>
      <c r="J10" s="30">
        <f>EOMONTH(NC[[#This Row],[DATA DE LIQUIDAÇÃO]],0)</f>
        <v>40999</v>
      </c>
      <c r="K1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23">
        <f>NC[QTDE]*NC[PREÇO]</f>
        <v>624</v>
      </c>
      <c r="M1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23">
        <f>SETUP!$E$3*SUMPRODUCT(N(NC[DATA]=NC[[#This Row],[DATA]]),N(NC[ID]&lt;=NC[[#This Row],[ID]]))</f>
        <v>29.8</v>
      </c>
      <c r="R10" s="23">
        <f>TRUNC(NC[CORRETAGEM]*SETUP!$F$3,2)</f>
        <v>0.59</v>
      </c>
      <c r="S10" s="23">
        <f>ROUND(NC[CORRETAGEM]*SETUP!$G$3,2)</f>
        <v>1.1599999999999999</v>
      </c>
      <c r="T10" s="23">
        <f>NC[VALOR LÍQUIDO DAS OPERAÇÕES]-NC[TAXA DE LIQUIDAÇÃO]-NC[EMOLUMENTOS]-NC[TAXA DE REGISTRO]-NC[CORRETAGEM]-NC[ISS]-IF(NC['[D/N']]="D",    0,    NC[OUTRAS BOVESPA])</f>
        <v>281.2</v>
      </c>
      <c r="U10" s="23">
        <f>IF(AND(NC['[D/N']]="D",    NC[T]="CV"),    ROUND(NC[LÍQUIDO BASE]*0.01, 2),    0)</f>
        <v>2.81</v>
      </c>
      <c r="V10" s="23">
        <f>NC[LÍQUIDO BASE]-SUMPRODUCT(N(NC[DATA]=NC[[#This Row],[DATA]]),    NC[IRRF FONTE])</f>
        <v>278.39</v>
      </c>
      <c r="W10" s="23">
        <f>NC[LÍQUIDO]-SUMPRODUCT(N(NC[DATA]=NC[[#This Row],[DATA]]),N(NC[ID]=(NC[[#This Row],[ID]]-1)),NC[LÍQUIDO])</f>
        <v>608.51</v>
      </c>
      <c r="X10" s="23">
        <f t="shared" si="1"/>
        <v>0.2535458333333333</v>
      </c>
      <c r="Y10" s="23">
        <f>TRUNC(IF(OR(NC[T]="CV",NC[T]="VV"),     L10*SETUP!$H$3,     0),2)</f>
        <v>0.03</v>
      </c>
      <c r="Z1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1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23">
        <f>IF(AND(NC[MED CP] &gt; 0, NC[MED VD] &gt; 0), (NC[MED VD] - NC[MED CP]) * NC[QTDE], 0) + NC[IRRF FONTE]</f>
        <v>281.19999999999993</v>
      </c>
      <c r="AD10" s="23">
        <f>IF(NC[U] = "U", SUMPRODUCT(N(NC[DATA BASE]=NC[[#This Row],[DATA BASE]]), N(NC['[D/N']] = "N"),    NC[LUCRO P/ OP]), 0)</f>
        <v>0</v>
      </c>
      <c r="AE10" s="23">
        <f>IF(NC[U] = "U", SUMPRODUCT(N(NC[DATA BASE]=NC[[#This Row],[DATA BASE]]), N(NC['[D/N']] = "D"),    NC[LUCRO P/ OP]), 0)</f>
        <v>0</v>
      </c>
      <c r="AF10" s="28">
        <f>IF(NC[LUCRO TRIB. N] &gt; 0,     ROUND(NC[LUCRO TRIB. N]*0.15,    2),    0)</f>
        <v>0</v>
      </c>
      <c r="AG10" s="27">
        <f>IF(NC[LUCRO TRIB. DT] &gt; 0,     ROUND(NC[LUCRO TRIB. DT]*0.2,    2)  -  SUMPRODUCT(N(NC[DATA BASE]=NC[[#This Row],[DATA BASE]]),    NC[IRRF FONTE]),    0)</f>
        <v>0</v>
      </c>
      <c r="AH10" s="27">
        <f>NC[IR DEVIDO N] + NC[IR DEVIDO DT]</f>
        <v>0</v>
      </c>
      <c r="AI10" s="27">
        <f>IF(NC[U] = "U", NC[IR DEVIDO] + 8.9, 0)</f>
        <v>0</v>
      </c>
      <c r="AJ10" s="27">
        <f>NC[LUCRO TRIB. N]  + NC[LUCRO TRIB. DT] - NC[RESGATE]</f>
        <v>0</v>
      </c>
    </row>
    <row r="11" spans="1:36" x14ac:dyDescent="0.2">
      <c r="A11" s="21">
        <v>10</v>
      </c>
      <c r="B11" s="21"/>
      <c r="C11" s="21" t="s">
        <v>57</v>
      </c>
      <c r="D11" s="21" t="s">
        <v>38</v>
      </c>
      <c r="E11" s="22">
        <v>40982</v>
      </c>
      <c r="F11" s="21">
        <v>800</v>
      </c>
      <c r="G11" s="23">
        <v>0.39</v>
      </c>
      <c r="H11" s="21" t="s">
        <v>7</v>
      </c>
      <c r="I11" s="22">
        <f>WORKDAY(NC[[#This Row],[DATA]],3,1)</f>
        <v>40987</v>
      </c>
      <c r="J11" s="30">
        <f>EOMONTH(NC[[#This Row],[DATA DE LIQUIDAÇÃO]],0)</f>
        <v>40999</v>
      </c>
      <c r="K1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23">
        <f>NC[QTDE]*NC[PREÇO]</f>
        <v>312</v>
      </c>
      <c r="M1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1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23">
        <f>SETUP!$E$3*SUMPRODUCT(N(NC[DATA]=NC[[#This Row],[DATA]]),N(NC[ID]&lt;=NC[[#This Row],[ID]]))</f>
        <v>44.7</v>
      </c>
      <c r="R11" s="23">
        <f>TRUNC(NC[CORRETAGEM]*SETUP!$F$3,2)</f>
        <v>0.89</v>
      </c>
      <c r="S11" s="23">
        <f>ROUND(NC[CORRETAGEM]*SETUP!$G$3,2)</f>
        <v>1.74</v>
      </c>
      <c r="T11" s="23">
        <f>NC[VALOR LÍQUIDO DAS OPERAÇÕES]-NC[TAXA DE LIQUIDAÇÃO]-NC[EMOLUMENTOS]-NC[TAXA DE REGISTRO]-NC[CORRETAGEM]-NC[ISS]-IF(NC['[D/N']]="D",    0,    NC[OUTRAS BOVESPA])</f>
        <v>-48.150000000000006</v>
      </c>
      <c r="U11" s="23">
        <f>IF(AND(NC['[D/N']]="D",    NC[T]="CV"),    ROUND(NC[LÍQUIDO BASE]*0.01, 2),    0)</f>
        <v>0</v>
      </c>
      <c r="V11" s="23">
        <f>NC[LÍQUIDO BASE]-SUMPRODUCT(N(NC[DATA]=NC[[#This Row],[DATA]]),    NC[IRRF FONTE])</f>
        <v>-50.960000000000008</v>
      </c>
      <c r="W11" s="23">
        <f>NC[LÍQUIDO]-SUMPRODUCT(N(NC[DATA]=NC[[#This Row],[DATA]]),N(NC[ID]=(NC[[#This Row],[ID]]-1)),NC[LÍQUIDO])</f>
        <v>-329.35</v>
      </c>
      <c r="X11" s="23">
        <f t="shared" si="1"/>
        <v>0.41168750000000004</v>
      </c>
      <c r="Y11" s="23">
        <f>TRUNC(IF(OR(NC[T]="CV",NC[T]="VV"),     L11*SETUP!$H$3,     0),2)</f>
        <v>0</v>
      </c>
      <c r="Z1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23">
        <f>IF(AND(NC[MED CP] &gt; 0, NC[MED VD] &gt; 0), (NC[MED VD] - NC[MED CP]) * NC[QTDE], 0) + NC[IRRF FONTE]</f>
        <v>0</v>
      </c>
      <c r="AD11" s="23">
        <f>IF(NC[U] = "U", SUMPRODUCT(N(NC[DATA BASE]=NC[[#This Row],[DATA BASE]]), N(NC['[D/N']] = "N"),    NC[LUCRO P/ OP]), 0)</f>
        <v>0</v>
      </c>
      <c r="AE11" s="23">
        <f>IF(NC[U] = "U", SUMPRODUCT(N(NC[DATA BASE]=NC[[#This Row],[DATA BASE]]), N(NC['[D/N']] = "D"),    NC[LUCRO P/ OP]), 0)</f>
        <v>0</v>
      </c>
      <c r="AF11" s="27">
        <f>IF(NC[LUCRO TRIB. N] &gt; 0,     ROUND(NC[LUCRO TRIB. N]*0.15,    2),    0)</f>
        <v>0</v>
      </c>
      <c r="AG11" s="27">
        <f>IF(NC[LUCRO TRIB. DT] &gt; 0,     ROUND(NC[LUCRO TRIB. DT]*0.2,    2)  -  SUMPRODUCT(N(NC[DATA BASE]=NC[[#This Row],[DATA BASE]]),    NC[IRRF FONTE]),    0)</f>
        <v>0</v>
      </c>
      <c r="AH11" s="27">
        <f>NC[IR DEVIDO N] + NC[IR DEVIDO DT]</f>
        <v>0</v>
      </c>
      <c r="AI11" s="27">
        <f>IF(NC[U] = "U", NC[IR DEVIDO] + 8.9, 0)</f>
        <v>0</v>
      </c>
      <c r="AJ11" s="27">
        <f>NC[LUCRO TRIB. N]  + NC[LUCRO TRIB. DT] - NC[RESGATE]</f>
        <v>0</v>
      </c>
    </row>
    <row r="12" spans="1:36" x14ac:dyDescent="0.2">
      <c r="A12" s="21">
        <v>11</v>
      </c>
      <c r="B12" s="21"/>
      <c r="C12" s="21" t="s">
        <v>59</v>
      </c>
      <c r="D12" s="21" t="s">
        <v>38</v>
      </c>
      <c r="E12" s="22">
        <v>40983</v>
      </c>
      <c r="F12" s="21">
        <v>500</v>
      </c>
      <c r="G12" s="23">
        <v>0.72</v>
      </c>
      <c r="H12" s="21" t="s">
        <v>7</v>
      </c>
      <c r="I12" s="22">
        <f>WORKDAY(NC[[#This Row],[DATA]],3,1)</f>
        <v>40988</v>
      </c>
      <c r="J12" s="30">
        <f>EOMONTH(NC[[#This Row],[DATA DE LIQUIDAÇÃO]],0)</f>
        <v>40999</v>
      </c>
      <c r="K1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23">
        <f>NC[QTDE]*NC[PREÇO]</f>
        <v>360</v>
      </c>
      <c r="M1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1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23">
        <f>SETUP!$E$3*SUMPRODUCT(N(NC[DATA]=NC[[#This Row],[DATA]]),N(NC[ID]&lt;=NC[[#This Row],[ID]]))</f>
        <v>14.9</v>
      </c>
      <c r="R12" s="23">
        <f>TRUNC(NC[CORRETAGEM]*SETUP!$F$3,2)</f>
        <v>0.28999999999999998</v>
      </c>
      <c r="S12" s="23">
        <f>ROUND(NC[CORRETAGEM]*SETUP!$G$3,2)</f>
        <v>0.57999999999999996</v>
      </c>
      <c r="T12" s="23">
        <f>NC[VALOR LÍQUIDO DAS OPERAÇÕES]-NC[TAXA DE LIQUIDAÇÃO]-NC[EMOLUMENTOS]-NC[TAXA DE REGISTRO]-NC[CORRETAGEM]-NC[ISS]-IF(NC['[D/N']]="D",    0,    NC[OUTRAS BOVESPA])</f>
        <v>-376.23999999999995</v>
      </c>
      <c r="U12" s="23">
        <f>IF(AND(NC['[D/N']]="D",    NC[T]="CV"),    ROUND(NC[LÍQUIDO BASE]*0.01, 2),    0)</f>
        <v>0</v>
      </c>
      <c r="V12" s="23">
        <f>NC[LÍQUIDO BASE]-SUMPRODUCT(N(NC[DATA]=NC[[#This Row],[DATA]]),    NC[IRRF FONTE])</f>
        <v>-376.23999999999995</v>
      </c>
      <c r="W12" s="23">
        <f>NC[LÍQUIDO]-SUMPRODUCT(N(NC[DATA]=NC[[#This Row],[DATA]]),N(NC[ID]=(NC[[#This Row],[ID]]-1)),NC[LÍQUIDO])</f>
        <v>-376.23999999999995</v>
      </c>
      <c r="X12" s="23">
        <f t="shared" si="1"/>
        <v>0.75247999999999993</v>
      </c>
      <c r="Y12" s="23">
        <f>TRUNC(IF(OR(NC[T]="CV",NC[T]="VV"),     L12*SETUP!$H$3,     0),2)</f>
        <v>0</v>
      </c>
      <c r="Z1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23">
        <f>IF(AND(NC[MED CP] &gt; 0, NC[MED VD] &gt; 0), (NC[MED VD] - NC[MED CP]) * NC[QTDE], 0) + NC[IRRF FONTE]</f>
        <v>0</v>
      </c>
      <c r="AD12" s="23">
        <f>IF(NC[U] = "U", SUMPRODUCT(N(NC[DATA BASE]=NC[[#This Row],[DATA BASE]]), N(NC['[D/N']] = "N"),    NC[LUCRO P/ OP]), 0)</f>
        <v>0</v>
      </c>
      <c r="AE12" s="23">
        <f>IF(NC[U] = "U", SUMPRODUCT(N(NC[DATA BASE]=NC[[#This Row],[DATA BASE]]), N(NC['[D/N']] = "D"),    NC[LUCRO P/ OP]), 0)</f>
        <v>0</v>
      </c>
      <c r="AF12" s="28">
        <f>IF(NC[LUCRO TRIB. N] &gt; 0,     ROUND(NC[LUCRO TRIB. N]*0.15,    2),    0)</f>
        <v>0</v>
      </c>
      <c r="AG12" s="28">
        <f>IF(NC[LUCRO TRIB. DT] &gt; 0,     ROUND(NC[LUCRO TRIB. DT]*0.2,    2)  -  SUMPRODUCT(N(NC[DATA BASE]=NC[[#This Row],[DATA BASE]]),    NC[IRRF FONTE]),    0)</f>
        <v>0</v>
      </c>
      <c r="AH12" s="27">
        <f>NC[IR DEVIDO N] + NC[IR DEVIDO DT]</f>
        <v>0</v>
      </c>
      <c r="AI12" s="27">
        <f>IF(NC[U] = "U", NC[IR DEVIDO] + 8.9, 0)</f>
        <v>0</v>
      </c>
      <c r="AJ12" s="27">
        <f>NC[LUCRO TRIB. N]  + NC[LUCRO TRIB. DT] - NC[RESGATE]</f>
        <v>0</v>
      </c>
    </row>
    <row r="13" spans="1:36" x14ac:dyDescent="0.2">
      <c r="A13" s="21">
        <v>12</v>
      </c>
      <c r="B13" s="21"/>
      <c r="C13" s="21" t="s">
        <v>57</v>
      </c>
      <c r="D13" s="21" t="s">
        <v>39</v>
      </c>
      <c r="E13" s="22">
        <v>40984</v>
      </c>
      <c r="F13" s="21">
        <v>800</v>
      </c>
      <c r="G13" s="23">
        <v>0.21</v>
      </c>
      <c r="H13" s="21" t="s">
        <v>7</v>
      </c>
      <c r="I13" s="22">
        <f>WORKDAY(NC[[#This Row],[DATA]],3,1)</f>
        <v>40989</v>
      </c>
      <c r="J13" s="30">
        <f>EOMONTH(NC[[#This Row],[DATA DE LIQUIDAÇÃO]],0)</f>
        <v>40999</v>
      </c>
      <c r="K1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23">
        <f>NC[QTDE]*NC[PREÇO]</f>
        <v>168</v>
      </c>
      <c r="M1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1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23">
        <f>SETUP!$E$3*SUMPRODUCT(N(NC[DATA]=NC[[#This Row],[DATA]]),N(NC[ID]&lt;=NC[[#This Row],[ID]]))</f>
        <v>14.9</v>
      </c>
      <c r="R13" s="23">
        <f>TRUNC(NC[CORRETAGEM]*SETUP!$F$3,2)</f>
        <v>0.28999999999999998</v>
      </c>
      <c r="S13" s="23">
        <f>ROUND(NC[CORRETAGEM]*SETUP!$G$3,2)</f>
        <v>0.57999999999999996</v>
      </c>
      <c r="T13" s="23">
        <f>NC[VALOR LÍQUIDO DAS OPERAÇÕES]-NC[TAXA DE LIQUIDAÇÃO]-NC[EMOLUMENTOS]-NC[TAXA DE REGISTRO]-NC[CORRETAGEM]-NC[ISS]-IF(NC['[D/N']]="D",    0,    NC[OUTRAS BOVESPA])</f>
        <v>152.01999999999998</v>
      </c>
      <c r="U13" s="23">
        <f>IF(AND(NC['[D/N']]="D",    NC[T]="CV"),    ROUND(NC[LÍQUIDO BASE]*0.01, 2),    0)</f>
        <v>0</v>
      </c>
      <c r="V13" s="23">
        <f>NC[LÍQUIDO BASE]-SUMPRODUCT(N(NC[DATA]=NC[[#This Row],[DATA]]),    NC[IRRF FONTE])</f>
        <v>152.01999999999998</v>
      </c>
      <c r="W13" s="28">
        <f>NC[LÍQUIDO]-SUMPRODUCT(N(NC[DATA]=NC[[#This Row],[DATA]]),N(NC[ID]=(NC[[#This Row],[ID]]-1)),NC[LÍQUIDO])</f>
        <v>152.01999999999998</v>
      </c>
      <c r="X13" s="23">
        <f t="shared" si="1"/>
        <v>0.19002499999999997</v>
      </c>
      <c r="Y13" s="23">
        <f>TRUNC(IF(OR(NC[T]="CV",NC[T]="VV"),     L13*SETUP!$H$3,     0),2)</f>
        <v>0</v>
      </c>
      <c r="Z1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23">
        <f>IF(AND(NC[MED CP] &gt; 0, NC[MED VD] &gt; 0), (NC[MED VD] - NC[MED CP]) * NC[QTDE], 0) + NC[IRRF FONTE]</f>
        <v>-177.33000000000004</v>
      </c>
      <c r="AD13" s="23">
        <f>IF(NC[U] = "U", SUMPRODUCT(N(NC[DATA BASE]=NC[[#This Row],[DATA BASE]]), N(NC['[D/N']] = "N"),    NC[LUCRO P/ OP]), 0)</f>
        <v>0</v>
      </c>
      <c r="AE13" s="23">
        <f>IF(NC[U] = "U", SUMPRODUCT(N(NC[DATA BASE]=NC[[#This Row],[DATA BASE]]), N(NC['[D/N']] = "D"),    NC[LUCRO P/ OP]), 0)</f>
        <v>0</v>
      </c>
      <c r="AF13" s="28">
        <f>IF(NC[LUCRO TRIB. N] &gt; 0,     ROUND(NC[LUCRO TRIB. N]*0.15,    2),    0)</f>
        <v>0</v>
      </c>
      <c r="AG13" s="28">
        <f>IF(NC[LUCRO TRIB. DT] &gt; 0,     ROUND(NC[LUCRO TRIB. DT]*0.2,    2)  -  SUMPRODUCT(N(NC[DATA BASE]=NC[[#This Row],[DATA BASE]]),    NC[IRRF FONTE]),    0)</f>
        <v>0</v>
      </c>
      <c r="AH13" s="27">
        <f>NC[IR DEVIDO N] + NC[IR DEVIDO DT]</f>
        <v>0</v>
      </c>
      <c r="AI13" s="27">
        <f>IF(NC[U] = "U", NC[IR DEVIDO] + 8.9, 0)</f>
        <v>0</v>
      </c>
      <c r="AJ13" s="27">
        <f>NC[LUCRO TRIB. N]  + NC[LUCRO TRIB. DT] - NC[RESGATE]</f>
        <v>0</v>
      </c>
    </row>
    <row r="14" spans="1:36" x14ac:dyDescent="0.2">
      <c r="A14" s="21">
        <v>13</v>
      </c>
      <c r="B14" s="21"/>
      <c r="C14" s="21" t="s">
        <v>59</v>
      </c>
      <c r="D14" s="21" t="s">
        <v>39</v>
      </c>
      <c r="E14" s="22">
        <v>40984</v>
      </c>
      <c r="F14" s="21">
        <v>500</v>
      </c>
      <c r="G14" s="23">
        <v>0.64</v>
      </c>
      <c r="H14" s="21" t="s">
        <v>7</v>
      </c>
      <c r="I14" s="22">
        <f>WORKDAY(NC[[#This Row],[DATA]],3,1)</f>
        <v>40989</v>
      </c>
      <c r="J14" s="30">
        <f>EOMONTH(NC[[#This Row],[DATA DE LIQUIDAÇÃO]],0)</f>
        <v>40999</v>
      </c>
      <c r="K1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23">
        <f>NC[QTDE]*NC[PREÇO]</f>
        <v>320</v>
      </c>
      <c r="M1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1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23">
        <f>SETUP!$E$3*SUMPRODUCT(N(NC[DATA]=NC[[#This Row],[DATA]]),N(NC[ID]&lt;=NC[[#This Row],[ID]]))</f>
        <v>29.8</v>
      </c>
      <c r="R14" s="23">
        <f>TRUNC(NC[CORRETAGEM]*SETUP!$F$3,2)</f>
        <v>0.59</v>
      </c>
      <c r="S14" s="23">
        <f>ROUND(NC[CORRETAGEM]*SETUP!$G$3,2)</f>
        <v>1.1599999999999999</v>
      </c>
      <c r="T14" s="23">
        <f>NC[VALOR LÍQUIDO DAS OPERAÇÕES]-NC[TAXA DE LIQUIDAÇÃO]-NC[EMOLUMENTOS]-NC[TAXA DE REGISTRO]-NC[CORRETAGEM]-NC[ISS]-IF(NC['[D/N']]="D",    0,    NC[OUTRAS BOVESPA])</f>
        <v>455.81</v>
      </c>
      <c r="U14" s="23">
        <f>IF(AND(NC['[D/N']]="D",    NC[T]="CV"),    ROUND(NC[LÍQUIDO BASE]*0.01, 2),    0)</f>
        <v>0</v>
      </c>
      <c r="V14" s="23">
        <f>NC[LÍQUIDO BASE]-SUMPRODUCT(N(NC[DATA]=NC[[#This Row],[DATA]]),    NC[IRRF FONTE])</f>
        <v>455.81</v>
      </c>
      <c r="W14" s="28">
        <f>NC[LÍQUIDO]-SUMPRODUCT(N(NC[DATA]=NC[[#This Row],[DATA]]),N(NC[ID]=(NC[[#This Row],[ID]]-1)),NC[LÍQUIDO])</f>
        <v>303.79000000000002</v>
      </c>
      <c r="X14" s="23">
        <f t="shared" si="1"/>
        <v>0.60758000000000001</v>
      </c>
      <c r="Y14" s="23">
        <f>TRUNC(IF(OR(NC[T]="CV",NC[T]="VV"),     L14*SETUP!$H$3,     0),2)</f>
        <v>0.01</v>
      </c>
      <c r="Z1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23">
        <f>IF(AND(NC[MED CP] &gt; 0, NC[MED VD] &gt; 0), (NC[MED VD] - NC[MED CP]) * NC[QTDE], 0) + NC[IRRF FONTE]</f>
        <v>-72.44999999999996</v>
      </c>
      <c r="AD14" s="23">
        <f>IF(NC[U] = "U", SUMPRODUCT(N(NC[DATA BASE]=NC[[#This Row],[DATA BASE]]), N(NC['[D/N']] = "N"),    NC[LUCRO P/ OP]), 0)</f>
        <v>0</v>
      </c>
      <c r="AE14" s="23">
        <f>IF(NC[U] = "U", SUMPRODUCT(N(NC[DATA BASE]=NC[[#This Row],[DATA BASE]]), N(NC['[D/N']] = "D"),    NC[LUCRO P/ OP]), 0)</f>
        <v>0</v>
      </c>
      <c r="AF14" s="28">
        <f>IF(NC[LUCRO TRIB. N] &gt; 0,     ROUND(NC[LUCRO TRIB. N]*0.15,    2),    0)</f>
        <v>0</v>
      </c>
      <c r="AG14" s="28">
        <f>IF(NC[LUCRO TRIB. DT] &gt; 0,     ROUND(NC[LUCRO TRIB. DT]*0.2,    2)  -  SUMPRODUCT(N(NC[DATA BASE]=NC[[#This Row],[DATA BASE]]),    NC[IRRF FONTE]),    0)</f>
        <v>0</v>
      </c>
      <c r="AH14" s="27">
        <f>NC[IR DEVIDO N] + NC[IR DEVIDO DT]</f>
        <v>0</v>
      </c>
      <c r="AI14" s="27">
        <f>IF(NC[U] = "U", NC[IR DEVIDO] + 8.9, 0)</f>
        <v>0</v>
      </c>
      <c r="AJ14" s="27">
        <f>NC[LUCRO TRIB. N]  + NC[LUCRO TRIB. DT] - NC[RESGATE]</f>
        <v>0</v>
      </c>
    </row>
    <row r="15" spans="1:36" x14ac:dyDescent="0.2">
      <c r="A15" s="21">
        <v>14</v>
      </c>
      <c r="B15" s="21" t="s">
        <v>69</v>
      </c>
      <c r="C15" s="21" t="s">
        <v>45</v>
      </c>
      <c r="D15" s="21" t="s">
        <v>39</v>
      </c>
      <c r="E15" s="22">
        <v>40984</v>
      </c>
      <c r="F15" s="21">
        <v>100</v>
      </c>
      <c r="G15" s="23">
        <v>1.06</v>
      </c>
      <c r="H15" s="21" t="s">
        <v>7</v>
      </c>
      <c r="I15" s="22">
        <f>WORKDAY(NC[[#This Row],[DATA]],3,1)</f>
        <v>40989</v>
      </c>
      <c r="J15" s="30">
        <f>EOMONTH(NC[[#This Row],[DATA DE LIQUIDAÇÃO]],0)</f>
        <v>40999</v>
      </c>
      <c r="K1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5" s="23">
        <f>NC[QTDE]*NC[PREÇO]</f>
        <v>106</v>
      </c>
      <c r="M1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23">
        <f>SETUP!$E$3*SUMPRODUCT(N(NC[DATA]=NC[[#This Row],[DATA]]),N(NC[ID]&lt;=NC[[#This Row],[ID]]))</f>
        <v>44.7</v>
      </c>
      <c r="R15" s="23">
        <f>TRUNC(NC[CORRETAGEM]*SETUP!$F$3,2)</f>
        <v>0.89</v>
      </c>
      <c r="S15" s="23">
        <f>ROUND(NC[CORRETAGEM]*SETUP!$G$3,2)</f>
        <v>1.74</v>
      </c>
      <c r="T15" s="23">
        <f>NC[VALOR LÍQUIDO DAS OPERAÇÕES]-NC[TAXA DE LIQUIDAÇÃO]-NC[EMOLUMENTOS]-NC[TAXA DE REGISTRO]-NC[CORRETAGEM]-NC[ISS]-IF(NC['[D/N']]="D",    0,    NC[OUTRAS BOVESPA])</f>
        <v>545.89</v>
      </c>
      <c r="U15" s="23">
        <f>IF(AND(NC['[D/N']]="D",    NC[T]="CV"),    ROUND(NC[LÍQUIDO BASE]*0.01, 2),    0)</f>
        <v>0</v>
      </c>
      <c r="V15" s="23">
        <f>NC[LÍQUIDO BASE]-SUMPRODUCT(N(NC[DATA]=NC[[#This Row],[DATA]]),    NC[IRRF FONTE])</f>
        <v>545.89</v>
      </c>
      <c r="W15" s="28">
        <f>NC[LÍQUIDO]-SUMPRODUCT(N(NC[DATA]=NC[[#This Row],[DATA]]),N(NC[ID]=(NC[[#This Row],[ID]]-1)),NC[LÍQUIDO])</f>
        <v>90.079999999999984</v>
      </c>
      <c r="X15" s="23">
        <f>ABS(W15)/F15</f>
        <v>0.90079999999999982</v>
      </c>
      <c r="Y15" s="23">
        <f>TRUNC(IF(OR(NC[T]="CV",NC[T]="VV"),     L15*SETUP!$H$3,     0),2)</f>
        <v>0</v>
      </c>
      <c r="Z1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1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23">
        <f>IF(AND(NC[MED CP] &gt; 0, NC[MED VD] &gt; 0), (NC[MED VD] - NC[MED CP]) * NC[QTDE], 0) + NC[IRRF FONTE]</f>
        <v>2.0900000000000252</v>
      </c>
      <c r="AD15" s="23">
        <f>IF(NC[U] = "U", SUMPRODUCT(N(NC[DATA BASE]=NC[[#This Row],[DATA BASE]]), N(NC['[D/N']] = "N"),    NC[LUCRO P/ OP]), 0)</f>
        <v>14.719999999999878</v>
      </c>
      <c r="AE15" s="23">
        <f>IF(NC[U] = "U", SUMPRODUCT(N(NC[DATA BASE]=NC[[#This Row],[DATA BASE]]), N(NC['[D/N']] = "D"),    NC[LUCRO P/ OP]), 0)</f>
        <v>478.50999999999988</v>
      </c>
      <c r="AF15" s="28">
        <f>IF(NC[LUCRO TRIB. N] &gt; 0,     ROUND(NC[LUCRO TRIB. N]*0.15,    2),    0)</f>
        <v>2.21</v>
      </c>
      <c r="AG15" s="28">
        <f>IF(NC[LUCRO TRIB. DT] &gt; 0,     ROUND(NC[LUCRO TRIB. DT]*0.2,    2)  -  SUMPRODUCT(N(NC[DATA BASE]=NC[[#This Row],[DATA BASE]]),    NC[IRRF FONTE]),    0)</f>
        <v>90.92</v>
      </c>
      <c r="AH15" s="27">
        <f>NC[IR DEVIDO N] + NC[IR DEVIDO DT]</f>
        <v>93.13</v>
      </c>
      <c r="AI15" s="27">
        <f>IF(NC[U] = "U", NC[IR DEVIDO] + 8.9, 0)</f>
        <v>102.03</v>
      </c>
      <c r="AJ15" s="27">
        <f>NC[LUCRO TRIB. N]  + NC[LUCRO TRIB. DT] - NC[RESGATE]</f>
        <v>391.1999999999997</v>
      </c>
    </row>
    <row r="16" spans="1:36" x14ac:dyDescent="0.2">
      <c r="A16" s="31">
        <f>SUBTOTAL(104,NC[ID])</f>
        <v>14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23"/>
      <c r="U16" s="31"/>
      <c r="V16" s="23"/>
      <c r="W16" s="23"/>
      <c r="X16" s="31"/>
      <c r="Y16" s="23">
        <f>SUBTOTAL(109,NC[IRRF])</f>
        <v>0.08</v>
      </c>
      <c r="Z16" s="23"/>
      <c r="AA16" s="31"/>
      <c r="AB16" s="31"/>
      <c r="AC16" s="23">
        <f>SUBTOTAL(109,NC[LUCRO P/ OP])</f>
        <v>493.22999999999979</v>
      </c>
      <c r="AD16" s="32"/>
      <c r="AE16" s="32"/>
      <c r="AF16" s="23"/>
      <c r="AG16" s="23"/>
      <c r="AH16" s="33"/>
      <c r="AI16" s="33"/>
      <c r="AJ16" s="3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6" t="s">
        <v>9</v>
      </c>
      <c r="B1" s="36"/>
      <c r="C1" s="36" t="s">
        <v>10</v>
      </c>
      <c r="D1" s="36"/>
      <c r="E1" s="35" t="s">
        <v>11</v>
      </c>
      <c r="F1" s="35" t="s">
        <v>4</v>
      </c>
      <c r="G1" s="35" t="s">
        <v>12</v>
      </c>
      <c r="H1" s="35" t="s">
        <v>13</v>
      </c>
      <c r="I1" s="35" t="s">
        <v>37</v>
      </c>
    </row>
    <row r="2" spans="1:9" x14ac:dyDescent="0.2">
      <c r="A2" s="3" t="s">
        <v>14</v>
      </c>
      <c r="B2" s="3" t="s">
        <v>15</v>
      </c>
      <c r="C2" s="3" t="s">
        <v>14</v>
      </c>
      <c r="D2" s="3" t="s">
        <v>15</v>
      </c>
      <c r="E2" s="35"/>
      <c r="F2" s="35"/>
      <c r="G2" s="35"/>
      <c r="H2" s="35"/>
      <c r="I2" s="35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4" t="s">
        <v>40</v>
      </c>
      <c r="B4" s="34"/>
      <c r="C4" s="34"/>
      <c r="D4" s="34"/>
      <c r="E4" s="34"/>
      <c r="F4" s="34"/>
    </row>
    <row r="5" spans="1:9" x14ac:dyDescent="0.2">
      <c r="A5" s="34" t="s">
        <v>9</v>
      </c>
      <c r="B5" s="34"/>
      <c r="C5" s="34"/>
      <c r="D5" s="34" t="s">
        <v>10</v>
      </c>
      <c r="E5" s="34"/>
      <c r="F5" s="34"/>
    </row>
    <row r="6" spans="1:9" x14ac:dyDescent="0.2">
      <c r="A6" s="26" t="s">
        <v>14</v>
      </c>
      <c r="B6" s="26" t="s">
        <v>15</v>
      </c>
      <c r="C6" s="26" t="s">
        <v>41</v>
      </c>
      <c r="D6" s="26" t="s">
        <v>14</v>
      </c>
      <c r="E6" s="26" t="s">
        <v>15</v>
      </c>
      <c r="F6" s="26" t="s">
        <v>41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2012-03-18T15:49:35Z</dcterms:modified>
</cp:coreProperties>
</file>