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36" i="9"/>
  <c r="K37"/>
  <c r="L36"/>
  <c r="L37"/>
  <c r="N36"/>
  <c r="N37"/>
  <c r="O36"/>
  <c r="O37"/>
  <c r="P36"/>
  <c r="P37"/>
  <c r="Q36"/>
  <c r="Q37"/>
  <c r="R36"/>
  <c r="R37"/>
  <c r="S36"/>
  <c r="S37"/>
  <c r="T36"/>
  <c r="T37"/>
  <c r="U36"/>
  <c r="U37"/>
  <c r="V36"/>
  <c r="V37"/>
  <c r="W36"/>
  <c r="W37"/>
  <c r="X36"/>
  <c r="X37"/>
  <c r="Y36"/>
  <c r="Y37"/>
  <c r="AC36"/>
  <c r="AC37"/>
  <c r="AD36"/>
  <c r="AD37"/>
  <c r="AF36"/>
  <c r="AI36"/>
  <c r="AJ36"/>
  <c r="AK36"/>
  <c r="K35"/>
  <c r="L35"/>
  <c r="N35"/>
  <c r="S35"/>
  <c r="T35"/>
  <c r="AC35"/>
  <c r="AD35"/>
  <c r="K32"/>
  <c r="K33"/>
  <c r="K34"/>
  <c r="L32"/>
  <c r="L33"/>
  <c r="L34"/>
  <c r="N32"/>
  <c r="N33"/>
  <c r="N34"/>
  <c r="S32"/>
  <c r="S33"/>
  <c r="S34"/>
  <c r="T32"/>
  <c r="T33"/>
  <c r="T34"/>
  <c r="AC32"/>
  <c r="AC33"/>
  <c r="AC34"/>
  <c r="AD32"/>
  <c r="AD33"/>
  <c r="AD34"/>
  <c r="AF32"/>
  <c r="AF34"/>
  <c r="AI32"/>
  <c r="AI34"/>
  <c r="AJ32"/>
  <c r="AJ34"/>
  <c r="AK32"/>
  <c r="AK34"/>
  <c r="K28"/>
  <c r="K29"/>
  <c r="L28"/>
  <c r="L29"/>
  <c r="N28"/>
  <c r="N29"/>
  <c r="S28"/>
  <c r="S29"/>
  <c r="T28"/>
  <c r="T29"/>
  <c r="AC28"/>
  <c r="AC29"/>
  <c r="AD28"/>
  <c r="AD29"/>
  <c r="AF28"/>
  <c r="AI28"/>
  <c r="AJ28"/>
  <c r="AK28"/>
  <c r="K26"/>
  <c r="K27"/>
  <c r="L26"/>
  <c r="L27"/>
  <c r="N26"/>
  <c r="N27"/>
  <c r="S26"/>
  <c r="S27"/>
  <c r="T26"/>
  <c r="T27"/>
  <c r="AC26"/>
  <c r="AC27"/>
  <c r="AD26"/>
  <c r="AD27"/>
  <c r="AF26"/>
  <c r="AI26"/>
  <c r="AI27"/>
  <c r="AJ26"/>
  <c r="AJ27"/>
  <c r="AK26"/>
  <c r="AK27"/>
  <c r="K30"/>
  <c r="K31"/>
  <c r="L30"/>
  <c r="L31"/>
  <c r="N30"/>
  <c r="N31"/>
  <c r="S30"/>
  <c r="S31"/>
  <c r="T30"/>
  <c r="T31"/>
  <c r="AC30"/>
  <c r="AC31"/>
  <c r="AD30"/>
  <c r="AD31"/>
  <c r="AF30"/>
  <c r="AI30"/>
  <c r="AJ30"/>
  <c r="AK30"/>
  <c r="K24"/>
  <c r="K25"/>
  <c r="L24"/>
  <c r="L25"/>
  <c r="N24"/>
  <c r="N25"/>
  <c r="S24"/>
  <c r="S25"/>
  <c r="T24"/>
  <c r="T25"/>
  <c r="AC24"/>
  <c r="AC25"/>
  <c r="AD24"/>
  <c r="AD25"/>
  <c r="AF24"/>
  <c r="AI24"/>
  <c r="AJ24"/>
  <c r="AK24"/>
  <c r="K22" l="1"/>
  <c r="K23"/>
  <c r="L22"/>
  <c r="L23"/>
  <c r="N22"/>
  <c r="N23"/>
  <c r="S22"/>
  <c r="S23"/>
  <c r="T22"/>
  <c r="T23"/>
  <c r="AC22"/>
  <c r="AC23"/>
  <c r="AD22"/>
  <c r="AD23"/>
  <c r="AF22"/>
  <c r="AI22"/>
  <c r="AJ22"/>
  <c r="AK22"/>
  <c r="K19"/>
  <c r="K21"/>
  <c r="L19"/>
  <c r="L21"/>
  <c r="N19"/>
  <c r="N21"/>
  <c r="S19"/>
  <c r="S21"/>
  <c r="T19"/>
  <c r="T21"/>
  <c r="AC19"/>
  <c r="AC21"/>
  <c r="AD19"/>
  <c r="AD21"/>
  <c r="AF19"/>
  <c r="AI19"/>
  <c r="AJ19"/>
  <c r="AK19"/>
  <c r="K18"/>
  <c r="K20"/>
  <c r="L18"/>
  <c r="L20"/>
  <c r="N18"/>
  <c r="N20"/>
  <c r="S18"/>
  <c r="S20"/>
  <c r="T18"/>
  <c r="T20"/>
  <c r="AC18"/>
  <c r="AC20"/>
  <c r="AD18"/>
  <c r="AD20"/>
  <c r="AF18"/>
  <c r="AI18"/>
  <c r="AI20"/>
  <c r="AJ18"/>
  <c r="AJ20"/>
  <c r="AK18"/>
  <c r="AK20"/>
  <c r="K14"/>
  <c r="K15"/>
  <c r="L14"/>
  <c r="L15"/>
  <c r="N14"/>
  <c r="N15"/>
  <c r="S14"/>
  <c r="S15"/>
  <c r="T14"/>
  <c r="T15"/>
  <c r="AC14"/>
  <c r="AC15"/>
  <c r="AD14"/>
  <c r="AD15"/>
  <c r="AF14"/>
  <c r="AI14"/>
  <c r="AI15"/>
  <c r="AJ14"/>
  <c r="AJ15"/>
  <c r="AK14"/>
  <c r="AK15"/>
  <c r="K13"/>
  <c r="K17"/>
  <c r="L13"/>
  <c r="L17"/>
  <c r="N13"/>
  <c r="N17"/>
  <c r="S13"/>
  <c r="S17"/>
  <c r="T13"/>
  <c r="T17"/>
  <c r="AC13"/>
  <c r="AC17"/>
  <c r="AD13"/>
  <c r="AD17"/>
  <c r="AF13"/>
  <c r="AI13"/>
  <c r="AJ13"/>
  <c r="AK13"/>
  <c r="K6"/>
  <c r="L6"/>
  <c r="N6"/>
  <c r="S6"/>
  <c r="T6"/>
  <c r="AC6"/>
  <c r="AD6"/>
  <c r="AF6"/>
  <c r="AI6"/>
  <c r="AJ6"/>
  <c r="AK6"/>
  <c r="K7"/>
  <c r="L7"/>
  <c r="N7"/>
  <c r="S7"/>
  <c r="T7"/>
  <c r="AC7"/>
  <c r="AD7"/>
  <c r="AI7"/>
  <c r="AJ7"/>
  <c r="AK7"/>
  <c r="K8"/>
  <c r="L8"/>
  <c r="N8"/>
  <c r="S8"/>
  <c r="T8"/>
  <c r="AC8"/>
  <c r="AD8"/>
  <c r="AE8"/>
  <c r="AI8"/>
  <c r="AJ8"/>
  <c r="AK8"/>
  <c r="K9"/>
  <c r="L9"/>
  <c r="N9"/>
  <c r="S9"/>
  <c r="T9"/>
  <c r="AC9"/>
  <c r="AD9"/>
  <c r="AI9"/>
  <c r="AJ9"/>
  <c r="AK9"/>
  <c r="K12"/>
  <c r="K16"/>
  <c r="L12"/>
  <c r="L16"/>
  <c r="N12"/>
  <c r="N16"/>
  <c r="S12"/>
  <c r="S16"/>
  <c r="T12"/>
  <c r="T16"/>
  <c r="AC12"/>
  <c r="AC16"/>
  <c r="AD12"/>
  <c r="AD16"/>
  <c r="AI12"/>
  <c r="AJ12"/>
  <c r="AK12"/>
  <c r="K11"/>
  <c r="L11"/>
  <c r="N11"/>
  <c r="S11"/>
  <c r="T11"/>
  <c r="AC11"/>
  <c r="AD11"/>
  <c r="AI11"/>
  <c r="AJ11"/>
  <c r="AK11"/>
  <c r="K10"/>
  <c r="L10"/>
  <c r="N10"/>
  <c r="S10"/>
  <c r="T10"/>
  <c r="AC10"/>
  <c r="AD10"/>
  <c r="AI10"/>
  <c r="AJ10"/>
  <c r="AK10"/>
  <c r="N2" i="4" l="1"/>
  <c r="M2"/>
  <c r="K4" i="9"/>
  <c r="K5"/>
  <c r="L4"/>
  <c r="L5"/>
  <c r="N4"/>
  <c r="N5"/>
  <c r="S4"/>
  <c r="S5"/>
  <c r="T4"/>
  <c r="T5"/>
  <c r="AC4"/>
  <c r="AC5"/>
  <c r="AD4"/>
  <c r="AD5"/>
  <c r="AF4"/>
  <c r="A38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M35" l="1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38"/>
  <c r="U35" l="1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2"/>
  <c r="W3"/>
  <c r="V35" l="1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3"/>
  <c r="Y3" s="1"/>
  <c r="X2"/>
  <c r="Y2" s="1"/>
  <c r="X34" l="1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34" l="1"/>
  <c r="Y17"/>
  <c r="Y13"/>
  <c r="Y10"/>
  <c r="Y11"/>
  <c r="Z11"/>
  <c r="Z16"/>
  <c r="AK4"/>
  <c r="Z36" l="1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12" s="1"/>
  <c r="AB12" s="1"/>
  <c r="AA36" l="1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36" l="1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/>
  <c r="AF12"/>
  <c r="AF10"/>
  <c r="AE12"/>
  <c r="AG12" s="1"/>
  <c r="AE16"/>
  <c r="AG16" s="1"/>
  <c r="AE11"/>
  <c r="AG11" s="1"/>
  <c r="AH11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37" i="9" l="1"/>
  <c r="AH35"/>
  <c r="AH33"/>
  <c r="AH29"/>
  <c r="AH27"/>
  <c r="AH31"/>
  <c r="AH25"/>
  <c r="AH23"/>
  <c r="AH21"/>
  <c r="AH20"/>
  <c r="AH15"/>
  <c r="AH17"/>
  <c r="AH9"/>
  <c r="AH7"/>
  <c r="AH16"/>
  <c r="AH5"/>
  <c r="AH10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37" i="9" l="1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5"/>
  <c r="AJ5"/>
  <c r="AI16"/>
  <c r="AJ16"/>
  <c r="AJ4"/>
  <c r="AI4"/>
  <c r="AH38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J4" s="1"/>
  <c r="H4"/>
  <c r="I4"/>
  <c r="F3"/>
  <c r="G3"/>
  <c r="J3" s="1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<sst xmlns="http://schemas.openxmlformats.org/spreadsheetml/2006/main" count="597" uniqueCount="167">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</sst>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  <xf numFmtId="1" fontId="14" fillId="0" borderId="0" xfId="0" applyNumberFormat="1" applyFont="1" applyBorder="1" applyAlignment="1"/>
    <xf numFmtId="164" fontId="14" fillId="0" borderId="0" xfId="1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38" totalsRowCount="1" headerRowDxfId="271" dataDxfId="270" totalsRowDxfId="269">
  <autoFilter ref="A1:AK37"/>
  <sortState ref="A2:AK31">
    <sortCondition ref="E1:E31"/>
  </sortState>
  <tableColumns count="37">
    <tableColumn id="19" name="ID" totalsRowFunction="max" dataDxfId="268" totalsRowDxfId="36"/>
    <tableColumn id="36" name="U" dataDxfId="267" totalsRowDxfId="35"/>
    <tableColumn id="2" name="ATIVO" dataDxfId="266" totalsRowDxfId="34"/>
    <tableColumn id="3" name="T" dataDxfId="265" totalsRowDxfId="33"/>
    <tableColumn id="4" name="DATA" dataDxfId="264" totalsRowDxfId="32"/>
    <tableColumn id="5" name="QTDE" dataDxfId="263" totalsRowDxfId="31"/>
    <tableColumn id="6" name="PREÇO" dataDxfId="262" totalsRowDxfId="30"/>
    <tableColumn id="37" name="PARCIAL" dataDxfId="261" totalsRowDxfId="29"/>
    <tableColumn id="40" name="AJUSTE" dataDxfId="260" totalsRowDxfId="28" dataCellStyle="Moeda"/>
    <tableColumn id="7" name="[D/N]" dataDxfId="259" totalsRowDxfId="27"/>
    <tableColumn id="34" name="DATA DE LIQUIDAÇÃO" dataDxfId="258" totalsRowDxfId="26">
      <calculatedColumnFormula>WORKDAY(NOTAS_80[[#This Row],[DATA]],1,0)</calculatedColumnFormula>
    </tableColumn>
    <tableColumn id="31" name="DATA BASE" dataDxfId="257" totalsRowDxfId="25">
      <calculatedColumnFormula>EOMONTH(NOTAS_80[[#This Row],[DATA DE LIQUIDAÇÃO]],0)</calculatedColumnFormula>
    </tableColumn>
    <tableColumn id="21" name="PAR" dataDxfId="256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5" totalsRowDxfId="23">
      <calculatedColumnFormula>[QTDE]*[PREÇO]</calculatedColumnFormula>
    </tableColumn>
    <tableColumn id="9" name="VALOR LÍQUIDO DAS OPERAÇÕES" dataDxfId="254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53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52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51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50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49" totalsRowDxfId="17">
      <calculatedColumnFormula>TRUNC([CORR BOV] * 20% * IF([PARCIAL] &gt; 0, [QTDE] / [PARCIAL], 1),2)</calculatedColumnFormula>
    </tableColumn>
    <tableColumn id="12" name="CORRETAGEM" dataDxfId="248" totalsRowDxfId="16">
      <calculatedColumnFormula>SUMPRODUCT(N([DATA]=NOTAS_80[[#This Row],[DATA]]),N([ID]&lt;=NOTAS_80[[#This Row],[ID]]), [CORR])</calculatedColumnFormula>
    </tableColumn>
    <tableColumn id="13" name="ISS" dataDxfId="247" totalsRowDxfId="15">
      <calculatedColumnFormula>TRUNC([CORRETAGEM]*SETUP!$F$3,2)</calculatedColumnFormula>
    </tableColumn>
    <tableColumn id="15" name="OUTRAS BOVESPA" dataDxfId="246" totalsRowDxfId="14">
      <calculatedColumnFormula>ROUND([CORRETAGEM]*SETUP!$G$3,2)</calculatedColumnFormula>
    </tableColumn>
    <tableColumn id="16" name="LÍQUIDO BASE" dataDxfId="245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4" totalsRowDxfId="12">
      <calculatedColumnFormula>IF(AND(['[D/N']]="D",    [T]="CV",    [LÍQUIDO BASE] &gt; 0),    TRUNC([LÍQUIDO BASE]*0.01, 2),    0)</calculatedColumnFormula>
    </tableColumn>
    <tableColumn id="35" name="LÍQUIDO" dataDxfId="243" totalsRowDxfId="11">
      <calculatedColumnFormula>IF([PREÇO] &gt; 0,    [LÍQUIDO BASE]-SUMPRODUCT(N([DATA]=NOTAS_80[[#This Row],[DATA]]),    [IRRF FONTE]),    0)</calculatedColumnFormula>
    </tableColumn>
    <tableColumn id="17" name="VALOR OP" dataDxfId="242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241" totalsRowDxfId="9">
      <calculatedColumnFormula>IF([T] = "VC", ABS([VALOR OP]) / [QTDE], [VALOR OP]/[QTDE])</calculatedColumnFormula>
    </tableColumn>
    <tableColumn id="20" name="IRRF" totalsRowFunction="sum" dataDxfId="240" totalsRowDxfId="8">
      <calculatedColumnFormula>TRUNC(IF(OR([T]="CV",[T]="VV"),     N2*SETUP!$H$3,     0),2)</calculatedColumnFormula>
    </tableColumn>
    <tableColumn id="24" name="SALDO" dataDxfId="239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38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37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36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5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34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33" totalsRowDxfId="1">
      <calculatedColumnFormula>IF([U] = "U", SUMPRODUCT(N([DATA BASE]=NOTAS_80[[#This Row],[DATA BASE]]), N(['[D/N']] = "D"),    [LUCRO P/ OP]), 0)</calculatedColumnFormula>
    </tableColumn>
    <tableColumn id="30" name="IRRF DT" dataDxfId="232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1" dataDxfId="230">
  <autoFilter ref="A1:N5"/>
  <tableColumns count="14">
    <tableColumn id="1" name="DATA" totalsRowLabel="Total" dataDxfId="229" totalsRowDxfId="228"/>
    <tableColumn id="2" name="LUCRO [N]" dataDxfId="227" totalsRowDxfId="226" dataCellStyle="Moeda"/>
    <tableColumn id="3" name="DEDUÇÃO [N]" dataDxfId="225" totalsRowDxfId="224" dataCellStyle="Moeda"/>
    <tableColumn id="8" name="IRRF [N]" dataDxfId="223" totalsRowDxfId="222" dataCellStyle="Moeda"/>
    <tableColumn id="4" name="LUCRO [D]" dataDxfId="221" totalsRowDxfId="220" dataCellStyle="Moeda"/>
    <tableColumn id="5" name="DEDUÇÃO [D]" dataDxfId="219" totalsRowDxfId="218" dataCellStyle="Moeda"/>
    <tableColumn id="9" name="IRRF [D]" dataDxfId="217" totalsRowDxfId="216" dataCellStyle="Moeda"/>
    <tableColumn id="6" name="ACC [N]" dataDxfId="215" totalsRowDxfId="214" dataCellStyle="Moeda">
      <calculatedColumnFormula>IF([LUCRO '[N']] + [DEDUÇÃO '[N']] &gt; 0, 0, [LUCRO '[N']] + [DEDUÇÃO '[N']])</calculatedColumnFormula>
    </tableColumn>
    <tableColumn id="12" name="ACC [D]" dataDxfId="213" totalsRowDxfId="212" dataCellStyle="Moeda">
      <calculatedColumnFormula>IF([LUCRO '[D']] + [DEDUÇÃO '[D']] &gt; 0, 0, [LUCRO '[D']] + [DEDUÇÃO '[D']])</calculatedColumnFormula>
    </tableColumn>
    <tableColumn id="7" name="IR DEVIDO [N]" dataDxfId="211" totalsRowDxfId="210" dataCellStyle="Moeda">
      <calculatedColumnFormula>IF([ACC '[N']] = 0, ROUND(([LUCRO '[N']] + [DEDUÇÃO '[N']]) * 15%, 2) - [IRRF '[N']], 0)</calculatedColumnFormula>
    </tableColumn>
    <tableColumn id="10" name="IR DEVIDO [D]" dataDxfId="209" totalsRowDxfId="208" dataCellStyle="Moeda">
      <calculatedColumnFormula>IF([ACC '[D']] = 0, ROUND(([LUCRO '[D']] + [DEDUÇÃO '[D']]) * 20%, 2) - [IRRF '[D']], 0)</calculatedColumnFormula>
    </tableColumn>
    <tableColumn id="14" name="IRRF" dataDxfId="207" totalsRowDxfId="206" dataCellStyle="Moeda">
      <calculatedColumnFormula>[IRRF '[N']] + [IRRF '[D']]</calculatedColumnFormula>
    </tableColumn>
    <tableColumn id="11" name="IR DEVIDO" dataDxfId="205" totalsRowDxfId="204" dataCellStyle="Moeda">
      <calculatedColumnFormula>[IR DEVIDO '[N']] + [IR DEVIDO '[D']]</calculatedColumnFormula>
    </tableColumn>
    <tableColumn id="13" name="LUCRO TOTAL" totalsRowFunction="sum" dataDxfId="203" totalsRowDxfId="20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01" dataDxfId="200">
  <autoFilter ref="A1:K4"/>
  <tableColumns count="11">
    <tableColumn id="1" name="PAPEL" totalsRowLabel="Total" dataDxfId="199" totalsRowDxfId="198"/>
    <tableColumn id="10" name="APLICAÇÃO" dataDxfId="197" totalsRowDxfId="196" dataCellStyle="Moeda"/>
    <tableColumn id="2" name="EXERCÍCIO" dataDxfId="195" totalsRowDxfId="194" dataCellStyle="Moeda"/>
    <tableColumn id="3" name="PREÇO OPÇÃO" dataDxfId="193" totalsRowDxfId="192" dataCellStyle="Moeda"/>
    <tableColumn id="4" name="PREÇO AÇÃO" dataDxfId="191" totalsRowDxfId="190" dataCellStyle="Moeda"/>
    <tableColumn id="11" name="QTDE TMP" dataDxfId="189" totalsRowDxfId="188" dataCellStyle="Moeda">
      <calculatedColumnFormula>ROUNDDOWN([APLICAÇÃO]/[PREÇO OPÇÃO], 0)</calculatedColumnFormula>
    </tableColumn>
    <tableColumn id="14" name="QTDE" dataDxfId="187" totalsRowDxfId="186" dataCellStyle="Moeda">
      <calculatedColumnFormula>[QTDE TMP] - MOD([QTDE TMP], 100)</calculatedColumnFormula>
    </tableColumn>
    <tableColumn id="5" name="TARGET 100%" dataDxfId="185" totalsRowDxfId="184" dataCellStyle="Moeda">
      <calculatedColumnFormula>[EXERCÍCIO] + ([PREÇO OPÇÃO] * 2)</calculatedColumnFormula>
    </tableColumn>
    <tableColumn id="6" name="ALTA 100%" dataDxfId="183" totalsRowDxfId="182" dataCellStyle="Porcentagem">
      <calculatedColumnFormula>[TARGET 100%] / [PREÇO AÇÃO] - 1</calculatedColumnFormula>
    </tableColumn>
    <tableColumn id="12" name="LUCRO* 100%" dataDxfId="181" totalsRowDxfId="180" dataCellStyle="Moeda">
      <calculatedColumnFormula>[PREÇO OPÇÃO] * [QTDE]</calculatedColumnFormula>
    </tableColumn>
    <tableColumn id="7" name="GORDURA" dataDxfId="179" totalsRowDxfId="17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77" dataDxfId="176">
  <autoFilter ref="A1:P4"/>
  <tableColumns count="16">
    <tableColumn id="1" name="PAPEL" totalsRowLabel="Total" dataDxfId="175" totalsRowDxfId="52"/>
    <tableColumn id="10" name="RISCO" dataDxfId="174" totalsRowDxfId="51" dataCellStyle="Moeda"/>
    <tableColumn id="20" name="PREÇO AÇÃO" dataDxfId="173" totalsRowDxfId="50" dataCellStyle="Moeda"/>
    <tableColumn id="7" name="EXERC. VENDA" dataDxfId="172" totalsRowDxfId="49" dataCellStyle="Moeda"/>
    <tableColumn id="8" name="PREÇO VENDA" dataDxfId="171" totalsRowDxfId="48" dataCellStyle="Moeda"/>
    <tableColumn id="2" name="EXERC. COMPRA" dataDxfId="170" totalsRowDxfId="47" dataCellStyle="Moeda"/>
    <tableColumn id="3" name="PREÇO COMPRA" dataDxfId="169" totalsRowDxfId="46" dataCellStyle="Moeda"/>
    <tableColumn id="4" name="VOLUME" dataDxfId="168" totalsRowDxfId="45" dataCellStyle="Moeda">
      <calculatedColumnFormula>([QTDE] * [PREÇO COMPRA]) + ([QTDE] * [PREÇO VENDA])</calculatedColumnFormula>
    </tableColumn>
    <tableColumn id="18" name="LUCRO P/ OPÇÃO" dataDxfId="167" totalsRowDxfId="44" dataCellStyle="Moeda">
      <calculatedColumnFormula>[PREÇO VENDA]-[PREÇO COMPRA]</calculatedColumnFormula>
    </tableColumn>
    <tableColumn id="19" name="PERDA P/ OPÇÃO" dataDxfId="166" totalsRowDxfId="43" dataCellStyle="Moeda">
      <calculatedColumnFormula>(0.01 - [PREÇO COMPRA]) + ([PREÇO VENDA] - ([EXERC. COMPRA]-[EXERC. VENDA]+0.01))</calculatedColumnFormula>
    </tableColumn>
    <tableColumn id="11" name="QTDE TMP" dataDxfId="165" totalsRowDxfId="42" dataCellStyle="Moeda">
      <calculatedColumnFormula>ROUNDDOWN([RISCO]/ABS([PERDA P/ OPÇÃO]), 0)</calculatedColumnFormula>
    </tableColumn>
    <tableColumn id="14" name="QTDE" dataDxfId="164" totalsRowDxfId="41" dataCellStyle="Moeda">
      <calculatedColumnFormula>[QTDE TMP] - MOD([QTDE TMP], 100)</calculatedColumnFormula>
    </tableColumn>
    <tableColumn id="5" name="LUCRO*" dataDxfId="163" totalsRowDxfId="40" dataCellStyle="Moeda">
      <calculatedColumnFormula>([QTDE]*[LUCRO P/ OPÇÃO])</calculatedColumnFormula>
    </tableColumn>
    <tableColumn id="6" name="PERDA*" dataDxfId="162" totalsRowDxfId="39" dataCellStyle="Moeda">
      <calculatedColumnFormula>[QTDE]*[PERDA P/ OPÇÃO]</calculatedColumnFormula>
    </tableColumn>
    <tableColumn id="21" name="% QUEDA" dataDxfId="161" totalsRowDxfId="38" dataCellStyle="Porcentagem">
      <calculatedColumnFormula>[EXERC. VENDA]/[PREÇO AÇÃO]-1</calculatedColumnFormula>
    </tableColumn>
    <tableColumn id="22" name="RISCO : 1" dataDxfId="160" totalsRowDxfId="3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59" dataDxfId="158">
  <autoFilter ref="A1:U2"/>
  <tableColumns count="21">
    <tableColumn id="1" name="PAPEL" totalsRowLabel="Total" dataDxfId="157" totalsRowDxfId="156"/>
    <tableColumn id="10" name="BASE" dataDxfId="155" totalsRowDxfId="154" dataCellStyle="Moeda"/>
    <tableColumn id="20" name="PR. AÇÃO" dataDxfId="153" totalsRowDxfId="152" dataCellStyle="Moeda"/>
    <tableColumn id="2" name="EX. CP 1" dataDxfId="151" totalsRowDxfId="150" dataCellStyle="Moeda"/>
    <tableColumn id="3" name="PR CP 1" dataDxfId="149" totalsRowDxfId="148" dataCellStyle="Moeda"/>
    <tableColumn id="12" name="EX. VD" dataDxfId="147" totalsRowDxfId="146" dataCellStyle="Moeda"/>
    <tableColumn id="13" name="PR VD" dataDxfId="145" totalsRowDxfId="144" dataCellStyle="Moeda"/>
    <tableColumn id="8" name="EX. CP 2" dataDxfId="143" totalsRowDxfId="142" dataCellStyle="Moeda"/>
    <tableColumn id="7" name="PR CP 2" dataDxfId="141" totalsRowDxfId="140" dataCellStyle="Moeda"/>
    <tableColumn id="18" name="LUCRO UNI." dataDxfId="139" totalsRowDxfId="138" dataCellStyle="Moeda">
      <calculatedColumnFormula>(([PR VD] - 0.01) * 2) + (([EX. VD] - [EX. CP 1] + 0.01) - [PR CP 1]) + (0.01 - [PR CP 2])</calculatedColumnFormula>
    </tableColumn>
    <tableColumn id="19" name="PERDA 1" dataDxfId="137" totalsRowDxfId="136" dataCellStyle="Moeda">
      <calculatedColumnFormula>(0.01 - [PR CP 1]) + (([PR VD] - 0.01) * 2) + (0.01 - [PR CP 2])</calculatedColumnFormula>
    </tableColumn>
    <tableColumn id="15" name="PERDA 2" dataDxfId="135" totalsRowDxfId="134" dataCellStyle="Moeda">
      <calculatedColumnFormula>(([EX. CP 2] - [EX. CP 1] + 0.01) - [PR CP 1]) + (([PR VD] - ([EX. CP 2] - [EX. VD] + 0.01)) * 2) + (0.01 - [PR CP 2])</calculatedColumnFormula>
    </tableColumn>
    <tableColumn id="16" name="PERDA" dataDxfId="133" totalsRowDxfId="132" dataCellStyle="Moeda">
      <calculatedColumnFormula>IF([PERDA 1] &gt; [PERDA 2], [PERDA 2], [PERDA 1])</calculatedColumnFormula>
    </tableColumn>
    <tableColumn id="11" name="QTDE TMP" dataDxfId="131" totalsRowDxfId="130" dataCellStyle="Moeda">
      <calculatedColumnFormula>ROUNDDOWN([BASE]/ABS([PERDA]), 0)</calculatedColumnFormula>
    </tableColumn>
    <tableColumn id="14" name="QTDE" dataDxfId="129" totalsRowDxfId="128" dataCellStyle="Moeda">
      <calculatedColumnFormula>[QTDE TMP] - MOD([QTDE TMP], 100)</calculatedColumnFormula>
    </tableColumn>
    <tableColumn id="4" name="QTDE VD" dataDxfId="127" totalsRowDxfId="126" dataCellStyle="Moeda">
      <calculatedColumnFormula>Tabela245[[#This Row],[QTDE]]*2</calculatedColumnFormula>
    </tableColumn>
    <tableColumn id="17" name="VOLUME" dataDxfId="125" totalsRowDxfId="124" dataCellStyle="Moeda">
      <calculatedColumnFormula>([QTDE]*[PR CP 1] + [QTDE]*[PR CP 2])+[QTDE]*[PR VD] * 2</calculatedColumnFormula>
    </tableColumn>
    <tableColumn id="5" name="LUCRO" dataDxfId="123" totalsRowDxfId="122" dataCellStyle="Moeda">
      <calculatedColumnFormula>([QTDE]*[LUCRO UNI.])</calculatedColumnFormula>
    </tableColumn>
    <tableColumn id="6" name="PERDA2" dataDxfId="121" totalsRowDxfId="120" dataCellStyle="Moeda">
      <calculatedColumnFormula>[QTDE]*[PERDA]</calculatedColumnFormula>
    </tableColumn>
    <tableColumn id="21" name="% VAR" dataDxfId="119" totalsRowDxfId="118" dataCellStyle="Porcentagem">
      <calculatedColumnFormula>[EX. VD] / [PR. AÇÃO] - 1</calculatedColumnFormula>
    </tableColumn>
    <tableColumn id="22" name="RISCO : 1" dataDxfId="117" totalsRowDxfId="116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15" dataDxfId="114">
  <autoFilter ref="A1:O5"/>
  <tableColumns count="15">
    <tableColumn id="1" name="PAPEL" totalsRowLabel="Total" dataDxfId="113" totalsRowDxfId="112"/>
    <tableColumn id="10" name="RISCO" dataDxfId="111" totalsRowDxfId="110" dataCellStyle="Moeda"/>
    <tableColumn id="20" name="PREÇO AÇÃO" dataDxfId="109" totalsRowDxfId="108" dataCellStyle="Moeda"/>
    <tableColumn id="7" name="EX. VENDA" dataDxfId="107" totalsRowDxfId="106" dataCellStyle="Moeda"/>
    <tableColumn id="2" name="EX. COMPRA" dataDxfId="105" totalsRowDxfId="104" dataCellStyle="Moeda"/>
    <tableColumn id="3" name="PR COMPRA" dataDxfId="103" totalsRowDxfId="102" dataCellStyle="Moeda"/>
    <tableColumn id="16" name="QTDE" dataDxfId="101" totalsRowDxfId="100" dataCellStyle="Moeda"/>
    <tableColumn id="13" name="PERDA P/ OPÇÃO" dataDxfId="99" totalsRowDxfId="98" dataCellStyle="Moeda">
      <calculatedColumnFormula>-[RISCO]/[QTDE]</calculatedColumnFormula>
    </tableColumn>
    <tableColumn id="14" name="CUSTO CP" dataDxfId="97" totalsRowDxfId="96" dataCellStyle="Moeda">
      <calculatedColumnFormula>[PR COMPRA] * [QTDE]</calculatedColumnFormula>
    </tableColumn>
    <tableColumn id="15" name="LUCRO UNI" dataDxfId="95" totalsRowDxfId="94">
      <calculatedColumnFormula>[PR VENDA]-[PR COMPRA]</calculatedColumnFormula>
    </tableColumn>
    <tableColumn id="8" name="PR VENDA" dataDxfId="93" totalsRowDxfId="92" dataCellStyle="Moeda">
      <calculatedColumnFormula>[PERDA P/ OPÇÃO] + ([EX. COMPRA] - [EX. VENDA] + 0.01) - 0.01 + [PR COMPRA]</calculatedColumnFormula>
    </tableColumn>
    <tableColumn id="5" name="LUCRO*" dataDxfId="91" totalsRowDxfId="90" dataCellStyle="Moeda">
      <calculatedColumnFormula>([QTDE]*[LUCRO UNI])</calculatedColumnFormula>
    </tableColumn>
    <tableColumn id="6" name="PERDA*" dataDxfId="89" totalsRowDxfId="88" dataCellStyle="Moeda">
      <calculatedColumnFormula>[PERDA P/ OPÇÃO]*[QTDE]</calculatedColumnFormula>
    </tableColumn>
    <tableColumn id="21" name="% QUEDA" dataDxfId="87" totalsRowDxfId="86" dataCellStyle="Porcentagem">
      <calculatedColumnFormula>[EX. VENDA]/[PREÇO AÇÃO]-1</calculatedColumnFormula>
    </tableColumn>
    <tableColumn id="22" name="RISCO : 1" dataDxfId="85" totalsRowDxfId="8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83" dataDxfId="82">
  <autoFilter ref="A1:O5"/>
  <tableColumns count="15">
    <tableColumn id="1" name="PAPEL" totalsRowLabel="Total" dataDxfId="81" totalsRowDxfId="80"/>
    <tableColumn id="10" name="RISCO" dataDxfId="79" totalsRowDxfId="78" dataCellStyle="Moeda"/>
    <tableColumn id="20" name="PREÇO AÇÃO" dataDxfId="77" totalsRowDxfId="76" dataCellStyle="Moeda"/>
    <tableColumn id="7" name="EX. VENDA" dataDxfId="75" totalsRowDxfId="74" dataCellStyle="Moeda"/>
    <tableColumn id="2" name="EX. COMPRA" dataDxfId="73" totalsRowDxfId="72" dataCellStyle="Moeda"/>
    <tableColumn id="9" name="PR VENDA" totalsRowDxfId="71"/>
    <tableColumn id="3" name="PR COMPRA" dataDxfId="70" totalsRowDxfId="69" dataCellStyle="Moeda"/>
    <tableColumn id="16" name="QTDE" dataDxfId="68" totalsRowDxfId="67" dataCellStyle="Moeda"/>
    <tableColumn id="13" name="PERDA P/ OPÇÃO" dataDxfId="66" totalsRowDxfId="65" dataCellStyle="Moeda">
      <calculatedColumnFormula>([PR VENDA] - ([EX. COMPRA] - [EX. VENDA] + 0.01)) + (0.01 - ([PR COMPRA]))</calculatedColumnFormula>
    </tableColumn>
    <tableColumn id="14" name="VOLUME" dataDxfId="64" totalsRowDxfId="63" dataCellStyle="Moeda">
      <calculatedColumnFormula>[PR COMPRA] * [QTDE]</calculatedColumnFormula>
    </tableColumn>
    <tableColumn id="15" name="LUCRO UNI" dataDxfId="62" totalsRowDxfId="61">
      <calculatedColumnFormula>[PR VENDA]-[PR COMPRA]</calculatedColumnFormula>
    </tableColumn>
    <tableColumn id="5" name="LUCRO*" dataDxfId="60" totalsRowDxfId="59" dataCellStyle="Moeda">
      <calculatedColumnFormula>([QTDE]*[LUCRO UNI])</calculatedColumnFormula>
    </tableColumn>
    <tableColumn id="6" name="PERDA*" dataDxfId="58" totalsRowDxfId="57" dataCellStyle="Moeda">
      <calculatedColumnFormula>[PERDA P/ OPÇÃO]*[QTDE]</calculatedColumnFormula>
    </tableColumn>
    <tableColumn id="21" name="% QUEDA" dataDxfId="56" totalsRowDxfId="55" dataCellStyle="Porcentagem">
      <calculatedColumnFormula>[EX. VENDA]/[PREÇO AÇÃO]-1</calculatedColumnFormula>
    </tableColumn>
    <tableColumn id="22" name="RISCO : 1" dataDxfId="54" totalsRowDxfId="5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38"/>
  <sheetViews>
    <sheetView tabSelected="1" workbookViewId="0">
      <pane xSplit="10" ySplit="1" topLeftCell="K11" activePane="bottomRight" state="frozen"/>
      <selection pane="topRight" activeCell="K1" sqref="K1"/>
      <selection pane="bottomLeft" activeCell="A2" sqref="A2"/>
      <selection pane="bottomRight" activeCell="J34" sqref="J3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13"/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0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4</v>
      </c>
      <c r="B5" s="120" t="s">
        <v>49</v>
      </c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-60.290000000000049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5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3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6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3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7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3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8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9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3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10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11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528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10">
        <f>TRUNC([CORR BOV] * 20% * IF([PARCIAL] &gt; 0, [QTDE] / [PARCIAL], 1),2)</f>
        <v>2.08</v>
      </c>
      <c r="U12" s="110">
        <f>SUMPRODUCT(N([DATA]=NOTAS_80[[#This Row],[DATA]]),N([ID]&lt;=NOTAS_80[[#This Row],[ID]]), [CORR])</f>
        <v>2.08</v>
      </c>
      <c r="V12" s="110">
        <f>TRUNC([CORRETAGEM]*SETUP!$F$3,2)</f>
        <v>0.04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-530.8900000000001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6">
        <f>[LÍQUIDO]-SUMPRODUCT(N([DATA]=NOTAS_80[[#This Row],[DATA]]),N([ID]=(NOTAS_80[[#This Row],[ID]]-1)),[LÍQUIDO])</f>
        <v>-530.8900000000001</v>
      </c>
      <c r="AB12" s="110">
        <f>IF([T] = "VC", ABS([VALOR OP]) / [QTDE], [VALOR OP]/[QTDE])</f>
        <v>1.7696333333333336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10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12</v>
      </c>
      <c r="B13" s="113"/>
      <c r="C13" s="113" t="s">
        <v>157</v>
      </c>
      <c r="D13" s="113" t="s">
        <v>24</v>
      </c>
      <c r="E13" s="114">
        <v>41157</v>
      </c>
      <c r="F13" s="113">
        <v>1400</v>
      </c>
      <c r="G13" s="110">
        <v>0.3</v>
      </c>
      <c r="H13" s="109"/>
      <c r="I13" s="133">
        <v>-0.44</v>
      </c>
      <c r="J13" s="113" t="s">
        <v>6</v>
      </c>
      <c r="K13" s="114">
        <f>WORKDAY(NOTAS_80[[#This Row],[DATA]],1,0)</f>
        <v>41158</v>
      </c>
      <c r="L13" s="115">
        <f>EOMONTH(NOTAS_80[[#This Row],[DATA DE LIQUIDAÇÃO]],0)</f>
        <v>41182</v>
      </c>
      <c r="M1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10">
        <f>[QTDE]*[PREÇO]</f>
        <v>420</v>
      </c>
      <c r="O1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10">
        <f>TRUNC([CORR BOV] * 20% * IF([PARCIAL] &gt; 0, [QTDE] / [PARCIAL], 1),2)</f>
        <v>1.68</v>
      </c>
      <c r="U13" s="110">
        <f>SUMPRODUCT(N([DATA]=NOTAS_80[[#This Row],[DATA]]),N([ID]&lt;=NOTAS_80[[#This Row],[ID]]), [CORR])</f>
        <v>3.76</v>
      </c>
      <c r="V13" s="110">
        <f>TRUNC([CORRETAGEM]*SETUP!$F$3,2)</f>
        <v>7.0000000000000007E-2</v>
      </c>
      <c r="W13" s="110">
        <f>ROUND([CORRETAGEM]*SETUP!$G$3,2)</f>
        <v>0.15</v>
      </c>
      <c r="X13" s="110">
        <f>[VALOR LÍQUIDO DAS OPERAÇÕES]-[TAXA DE LIQUIDAÇÃO]-[EMOLUMENTOS]-[TAXA DE REGISTRO]-[CORRETAGEM]-[ISS]-IF(['[D/N']]="D",    0,    [OUTRAS BOVESPA]) - [AJUSTE]</f>
        <v>-952.8</v>
      </c>
      <c r="Y13" s="110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6">
        <f>[LÍQUIDO]-SUMPRODUCT(N([DATA]=NOTAS_80[[#This Row],[DATA]]),N([ID]=(NOTAS_80[[#This Row],[ID]]-1)),[LÍQUIDO])</f>
        <v>-421.90999999999985</v>
      </c>
      <c r="AB13" s="110">
        <f>IF([T] = "VC", ABS([VALOR OP]) / [QTDE], [VALOR OP]/[QTDE])</f>
        <v>-0.30136428571428558</v>
      </c>
      <c r="AC13" s="110">
        <f>TRUNC(IF(OR([T]="CV",[T]="VV"),     N13*SETUP!$H$3,     0),2)</f>
        <v>0</v>
      </c>
      <c r="AD1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10">
        <f>IF([LUCRO TMP] &lt;&gt; 0, [LUCRO TMP] - SUMPRODUCT(N([ATIVO]=NOTAS_80[[#This Row],[ATIVO]]),N(['[D/N']]="N"),N([ID]&lt;NOTAS_80[[#This Row],[ID]]),N([PAR]=NOTAS_80[[#This Row],[PAR]]), [LUCRO TMP]), 0)</f>
        <v>0</v>
      </c>
      <c r="AI13" s="110">
        <f>IF([U] = "U", SUMPRODUCT(N([ID]&lt;=NOTAS_80[[#This Row],[ID]]),N([DATA BASE]=NOTAS_80[[#This Row],[DATA BASE]]), N(['[D/N']] = "N"),    [LUCRO P/ OP]), 0)</f>
        <v>0</v>
      </c>
      <c r="AJ13" s="110">
        <f>IF([U] = "U", SUMPRODUCT(N([DATA BASE]=NOTAS_80[[#This Row],[DATA BASE]]), N(['[D/N']] = "D"),    [LUCRO P/ OP]), 0)</f>
        <v>0</v>
      </c>
      <c r="AK13" s="110">
        <f>IF([U] = "U", SUMPRODUCT(N([DATA BASE]=NOTAS_80[[#This Row],[DATA BASE]]), N(['[D/N']] = "D"),    [IRRF FONTE]), 0)</f>
        <v>0</v>
      </c>
    </row>
    <row r="14" spans="1:37">
      <c r="A14" s="13">
        <v>13</v>
      </c>
      <c r="B14" s="113"/>
      <c r="C14" s="113" t="s">
        <v>158</v>
      </c>
      <c r="D14" s="113" t="s">
        <v>24</v>
      </c>
      <c r="E14" s="114">
        <v>41162</v>
      </c>
      <c r="F14" s="113">
        <v>800</v>
      </c>
      <c r="G14" s="110">
        <v>0.51</v>
      </c>
      <c r="H14" s="109"/>
      <c r="I14" s="133"/>
      <c r="J14" s="113" t="s">
        <v>14</v>
      </c>
      <c r="K14" s="114">
        <f>WORKDAY(NOTAS_80[[#This Row],[DATA]],1,0)</f>
        <v>41163</v>
      </c>
      <c r="L14" s="115">
        <f>EOMONTH(NOTAS_80[[#This Row],[DATA DE LIQUIDAÇÃO]],0)</f>
        <v>41182</v>
      </c>
      <c r="M1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10">
        <f>[QTDE]*[PREÇO]</f>
        <v>408</v>
      </c>
      <c r="O1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10">
        <f>TRUNC([CORR BOV] * 20% * IF([PARCIAL] &gt; 0, [QTDE] / [PARCIAL], 1),2)</f>
        <v>1.63</v>
      </c>
      <c r="U14" s="110">
        <f>SUMPRODUCT(N([DATA]=NOTAS_80[[#This Row],[DATA]]),N([ID]&lt;=NOTAS_80[[#This Row],[ID]]), [CORR])</f>
        <v>1.63</v>
      </c>
      <c r="V14" s="110">
        <f>TRUNC([CORRETAGEM]*SETUP!$F$3,2)</f>
        <v>0.03</v>
      </c>
      <c r="W14" s="110">
        <f>ROUND([CORRETAGEM]*SETUP!$G$3,2)</f>
        <v>0.06</v>
      </c>
      <c r="X14" s="110">
        <f>[VALOR LÍQUIDO DAS OPERAÇÕES]-[TAXA DE LIQUIDAÇÃO]-[EMOLUMENTOS]-[TAXA DE REGISTRO]-[CORRETAGEM]-[ISS]-IF(['[D/N']]="D",    0,    [OUTRAS BOVESPA]) - [AJUSTE]</f>
        <v>-409.83</v>
      </c>
      <c r="Y14" s="110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6">
        <f>[LÍQUIDO]-SUMPRODUCT(N([DATA]=NOTAS_80[[#This Row],[DATA]]),N([ID]=(NOTAS_80[[#This Row],[ID]]-1)),[LÍQUIDO])</f>
        <v>-409.83</v>
      </c>
      <c r="AB14" s="110">
        <f>IF([T] = "VC", ABS([VALOR OP]) / [QTDE], [VALOR OP]/[QTDE])</f>
        <v>-0.51228750000000001</v>
      </c>
      <c r="AC14" s="110">
        <f>TRUNC(IF(OR([T]="CV",[T]="VV"),     N14*SETUP!$H$3,     0),2)</f>
        <v>0</v>
      </c>
      <c r="AD1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10">
        <f>IF([LUCRO TMP] &lt;&gt; 0, [LUCRO TMP] - SUMPRODUCT(N([ATIVO]=NOTAS_80[[#This Row],[ATIVO]]),N(['[D/N']]="N"),N([ID]&lt;NOTAS_80[[#This Row],[ID]]),N([PAR]=NOTAS_80[[#This Row],[PAR]]), [LUCRO TMP]), 0)</f>
        <v>0</v>
      </c>
      <c r="AI14" s="110">
        <f>IF([U] = "U", SUMPRODUCT(N([ID]&lt;=NOTAS_80[[#This Row],[ID]]),N([DATA BASE]=NOTAS_80[[#This Row],[DATA BASE]]), N(['[D/N']] = "N"),    [LUCRO P/ OP]), 0)</f>
        <v>0</v>
      </c>
      <c r="AJ14" s="110">
        <f>IF([U] = "U", SUMPRODUCT(N([DATA BASE]=NOTAS_80[[#This Row],[DATA BASE]]), N(['[D/N']] = "D"),    [LUCRO P/ OP]), 0)</f>
        <v>0</v>
      </c>
      <c r="AK14" s="110">
        <f>IF([U] = "U", SUMPRODUCT(N([DATA BASE]=NOTAS_80[[#This Row],[DATA BASE]]), N(['[D/N']] = "D"),    [IRRF FONTE]), 0)</f>
        <v>0</v>
      </c>
    </row>
    <row r="15" spans="1:37">
      <c r="A15" s="13">
        <v>14</v>
      </c>
      <c r="B15" s="120"/>
      <c r="C15" s="113" t="s">
        <v>158</v>
      </c>
      <c r="D15" s="120" t="s">
        <v>25</v>
      </c>
      <c r="E15" s="121">
        <v>41162</v>
      </c>
      <c r="F15" s="120">
        <v>800</v>
      </c>
      <c r="G15" s="122">
        <v>0.46</v>
      </c>
      <c r="H15" s="134"/>
      <c r="I15" s="135">
        <v>-0.7</v>
      </c>
      <c r="J15" s="120" t="s">
        <v>14</v>
      </c>
      <c r="K15" s="121">
        <f>WORKDAY(NOTAS_80[[#This Row],[DATA]],1,0)</f>
        <v>41163</v>
      </c>
      <c r="L15" s="123">
        <f>EOMONTH(NOTAS_80[[#This Row],[DATA DE LIQUIDAÇÃO]],0)</f>
        <v>41182</v>
      </c>
      <c r="M1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22">
        <f>[QTDE]*[PREÇO]</f>
        <v>368</v>
      </c>
      <c r="O1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22">
        <f>TRUNC([CORR BOV] * 20% * IF([PARCIAL] &gt; 0, [QTDE] / [PARCIAL], 1),2)</f>
        <v>1.47</v>
      </c>
      <c r="U15" s="122">
        <f>SUMPRODUCT(N([DATA]=NOTAS_80[[#This Row],[DATA]]),N([ID]&lt;=NOTAS_80[[#This Row],[ID]]), [CORR])</f>
        <v>3.0999999999999996</v>
      </c>
      <c r="V15" s="122">
        <f>TRUNC([CORRETAGEM]*SETUP!$F$3,2)</f>
        <v>0.06</v>
      </c>
      <c r="W15" s="122">
        <f>ROUND([CORRETAGEM]*SETUP!$G$3,2)</f>
        <v>0.12</v>
      </c>
      <c r="X15" s="122">
        <f>[VALOR LÍQUIDO DAS OPERAÇÕES]-[TAXA DE LIQUIDAÇÃO]-[EMOLUMENTOS]-[TAXA DE REGISTRO]-[CORRETAGEM]-[ISS]-IF(['[D/N']]="D",    0,    [OUTRAS BOVESPA]) - [AJUSTE]</f>
        <v>-42.790000000000006</v>
      </c>
      <c r="Y15" s="122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24">
        <f>[LÍQUIDO]-SUMPRODUCT(N([DATA]=NOTAS_80[[#This Row],[DATA]]),N([ID]=(NOTAS_80[[#This Row],[ID]]-1)),[LÍQUIDO])</f>
        <v>367.03999999999996</v>
      </c>
      <c r="AB15" s="122">
        <f>IF([T] = "VC", ABS([VALOR OP]) / [QTDE], [VALOR OP]/[QTDE])</f>
        <v>0.45879999999999993</v>
      </c>
      <c r="AC15" s="122">
        <f>TRUNC(IF(OR([T]="CV",[T]="VV"),     N15*SETUP!$H$3,     0),2)</f>
        <v>0.01</v>
      </c>
      <c r="AD1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22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22">
        <f>IF([U] = "U", SUMPRODUCT(N([ID]&lt;=NOTAS_80[[#This Row],[ID]]),N([DATA BASE]=NOTAS_80[[#This Row],[DATA BASE]]), N(['[D/N']] = "N"),    [LUCRO P/ OP]), 0)</f>
        <v>0</v>
      </c>
      <c r="AJ15" s="122">
        <f>IF([U] = "U", SUMPRODUCT(N([DATA BASE]=NOTAS_80[[#This Row],[DATA BASE]]), N(['[D/N']] = "D"),    [LUCRO P/ OP]), 0)</f>
        <v>0</v>
      </c>
      <c r="AK15" s="122">
        <f>IF([U] = "U", SUMPRODUCT(N([DATA BASE]=NOTAS_80[[#This Row],[DATA BASE]]), N(['[D/N']] = "D"),    [IRRF FONTE]), 0)</f>
        <v>0</v>
      </c>
    </row>
    <row r="16" spans="1:37">
      <c r="A16" s="13">
        <v>15</v>
      </c>
      <c r="B16" s="113"/>
      <c r="C16" s="120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21">
        <f>WORKDAY(NOTAS_80[[#This Row],[DATA]],1,0)</f>
        <v>41163</v>
      </c>
      <c r="L16" s="123">
        <f>EOMONTH(NOTAS_80[[#This Row],[DATA DE LIQUIDAÇÃO]],0)</f>
        <v>41182</v>
      </c>
      <c r="M16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22">
        <f>[QTDE]*[PREÇO]</f>
        <v>432</v>
      </c>
      <c r="O16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22">
        <f>TRUNC([CORR BOV] * 20% * IF([PARCIAL] &gt; 0, [QTDE] / [PARCIAL], 1),2)</f>
        <v>1.72</v>
      </c>
      <c r="U16" s="122">
        <f>SUMPRODUCT(N([DATA]=NOTAS_80[[#This Row],[DATA]]),N([ID]&lt;=NOTAS_80[[#This Row],[ID]]), [CORR])</f>
        <v>4.8199999999999994</v>
      </c>
      <c r="V16" s="122">
        <f>TRUNC([CORRETAGEM]*SETUP!$F$3,2)</f>
        <v>0.09</v>
      </c>
      <c r="W16" s="122">
        <f>ROUND([CORRETAGEM]*SETUP!$G$3,2)</f>
        <v>0.19</v>
      </c>
      <c r="X16" s="122">
        <f>[VALOR LÍQUIDO DAS OPERAÇÕES]-[TAXA DE LIQUIDAÇÃO]-[EMOLUMENTOS]-[TAXA DE REGISTRO]-[CORRETAGEM]-[ISS]-IF(['[D/N']]="D",    0,    [OUTRAS BOVESPA]) - [AJUSTE]</f>
        <v>385.99</v>
      </c>
      <c r="Y16" s="122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24">
        <f>[LÍQUIDO]-SUMPRODUCT(N([DATA]=NOTAS_80[[#This Row],[DATA]]),N([ID]=(NOTAS_80[[#This Row],[ID]]-1)),[LÍQUIDO])</f>
        <v>428.78000000000003</v>
      </c>
      <c r="AB16" s="122">
        <f>IF([T] = "VC", ABS([VALOR OP]) / [QTDE], [VALOR OP]/[QTDE])</f>
        <v>1.4292666666666667</v>
      </c>
      <c r="AC16" s="122">
        <f>TRUNC(IF(OR([T]="CV",[T]="VV"),     N16*SETUP!$H$3,     0),2)</f>
        <v>0.02</v>
      </c>
      <c r="AD16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22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22">
        <f>IF([U] = "U", SUMPRODUCT(N([ID]&lt;=NOTAS_80[[#This Row],[ID]]),N([DATA BASE]=NOTAS_80[[#This Row],[DATA BASE]]), N(['[D/N']] = "N"),    [LUCRO P/ OP]), 0)</f>
        <v>0</v>
      </c>
      <c r="AJ16" s="122">
        <f>IF([U] = "U", SUMPRODUCT(N([DATA BASE]=NOTAS_80[[#This Row],[DATA BASE]]), N(['[D/N']] = "D"),    [LUCRO P/ OP]), 0)</f>
        <v>0</v>
      </c>
      <c r="AK16" s="122">
        <f>IF([U] = "U", SUMPRODUCT(N([DATA BASE]=NOTAS_80[[#This Row],[DATA BASE]]), N(['[D/N']] = "D"),    [IRRF FONTE]), 0)</f>
        <v>0</v>
      </c>
    </row>
    <row r="17" spans="1:37">
      <c r="A17" s="13">
        <v>16</v>
      </c>
      <c r="B17" s="120"/>
      <c r="C17" s="113" t="s">
        <v>157</v>
      </c>
      <c r="D17" s="120" t="s">
        <v>25</v>
      </c>
      <c r="E17" s="121">
        <v>41162</v>
      </c>
      <c r="F17" s="120">
        <v>1400</v>
      </c>
      <c r="G17" s="122">
        <v>0.43</v>
      </c>
      <c r="H17" s="134"/>
      <c r="I17" s="135">
        <v>4.3899999999999997</v>
      </c>
      <c r="J17" s="120" t="s">
        <v>6</v>
      </c>
      <c r="K17" s="121">
        <f>WORKDAY(NOTAS_80[[#This Row],[DATA]],1,0)</f>
        <v>41163</v>
      </c>
      <c r="L17" s="123">
        <f>EOMONTH(NOTAS_80[[#This Row],[DATA DE LIQUIDAÇÃO]],0)</f>
        <v>41182</v>
      </c>
      <c r="M1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22">
        <f>[QTDE]*[PREÇO]</f>
        <v>602</v>
      </c>
      <c r="O1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22">
        <f>TRUNC([CORR BOV] * 20% * IF([PARCIAL] &gt; 0, [QTDE] / [PARCIAL], 1),2)</f>
        <v>2.2999999999999998</v>
      </c>
      <c r="U17" s="122">
        <f>SUMPRODUCT(N([DATA]=NOTAS_80[[#This Row],[DATA]]),N([ID]&lt;=NOTAS_80[[#This Row],[ID]]), [CORR])</f>
        <v>7.1199999999999992</v>
      </c>
      <c r="V17" s="122">
        <f>TRUNC([CORRETAGEM]*SETUP!$F$3,2)</f>
        <v>0.14000000000000001</v>
      </c>
      <c r="W17" s="122">
        <f>ROUND([CORRETAGEM]*SETUP!$G$3,2)</f>
        <v>0.28000000000000003</v>
      </c>
      <c r="X17" s="122">
        <f>[VALOR LÍQUIDO DAS OPERAÇÕES]-[TAXA DE LIQUIDAÇÃO]-[EMOLUMENTOS]-[TAXA DE REGISTRO]-[CORRETAGEM]-[ISS]-IF(['[D/N']]="D",    0,    [OUTRAS BOVESPA]) - [AJUSTE]</f>
        <v>980.35</v>
      </c>
      <c r="Y17" s="122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24">
        <f>[LÍQUIDO]-SUMPRODUCT(N([DATA]=NOTAS_80[[#This Row],[DATA]]),N([ID]=(NOTAS_80[[#This Row],[ID]]-1)),[LÍQUIDO])</f>
        <v>594.36</v>
      </c>
      <c r="AB17" s="122">
        <f>IF([T] = "VC", ABS([VALOR OP]) / [QTDE], [VALOR OP]/[QTDE])</f>
        <v>0.42454285714285717</v>
      </c>
      <c r="AC17" s="122">
        <f>TRUNC(IF(OR([T]="CV",[T]="VV"),     N17*SETUP!$H$3,     0),2)</f>
        <v>0.03</v>
      </c>
      <c r="AD1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22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22">
        <f>IF([U] = "U", SUMPRODUCT(N([ID]&lt;=NOTAS_80[[#This Row],[ID]]),N([DATA BASE]=NOTAS_80[[#This Row],[DATA BASE]]), N(['[D/N']] = "N"),    [LUCRO P/ OP]), 0)</f>
        <v>0</v>
      </c>
      <c r="AJ17" s="122">
        <f>IF([U] = "U", SUMPRODUCT(N([DATA BASE]=NOTAS_80[[#This Row],[DATA BASE]]), N(['[D/N']] = "D"),    [LUCRO P/ OP]), 0)</f>
        <v>0</v>
      </c>
      <c r="AK17" s="122">
        <f>IF([U] = "U", SUMPRODUCT(N([DATA BASE]=NOTAS_80[[#This Row],[DATA BASE]]), N(['[D/N']] = "D"),    [IRRF FONTE]), 0)</f>
        <v>0</v>
      </c>
    </row>
    <row r="18" spans="1:37">
      <c r="A18" s="13">
        <v>17</v>
      </c>
      <c r="B18" s="113"/>
      <c r="C18" s="113" t="s">
        <v>159</v>
      </c>
      <c r="D18" s="113" t="s">
        <v>24</v>
      </c>
      <c r="E18" s="114">
        <v>41163</v>
      </c>
      <c r="F18" s="113">
        <v>600</v>
      </c>
      <c r="G18" s="110">
        <v>0.81</v>
      </c>
      <c r="H18" s="109"/>
      <c r="I18" s="133"/>
      <c r="J18" s="113" t="s">
        <v>6</v>
      </c>
      <c r="K18" s="114">
        <f>WORKDAY(NOTAS_80[[#This Row],[DATA]],1,0)</f>
        <v>41164</v>
      </c>
      <c r="L18" s="115">
        <f>EOMONTH(NOTAS_80[[#This Row],[DATA DE LIQUIDAÇÃO]],0)</f>
        <v>41182</v>
      </c>
      <c r="M1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10">
        <f>[QTDE]*[PREÇO]</f>
        <v>486.00000000000006</v>
      </c>
      <c r="O1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10">
        <f>TRUNC([CORR BOV] * 20% * IF([PARCIAL] &gt; 0, [QTDE] / [PARCIAL], 1),2)</f>
        <v>1.94</v>
      </c>
      <c r="U18" s="110">
        <f>SUMPRODUCT(N([DATA]=NOTAS_80[[#This Row],[DATA]]),N([ID]&lt;=NOTAS_80[[#This Row],[ID]]), [CORR])</f>
        <v>1.94</v>
      </c>
      <c r="V18" s="110">
        <f>TRUNC([CORRETAGEM]*SETUP!$F$3,2)</f>
        <v>0.03</v>
      </c>
      <c r="W18" s="110">
        <f>ROUND([CORRETAGEM]*SETUP!$G$3,2)</f>
        <v>0.08</v>
      </c>
      <c r="X18" s="110">
        <f>[VALOR LÍQUIDO DAS OPERAÇÕES]-[TAXA DE LIQUIDAÇÃO]-[EMOLUMENTOS]-[TAXA DE REGISTRO]-[CORRETAGEM]-[ISS]-IF(['[D/N']]="D",    0,    [OUTRAS BOVESPA]) - [AJUSTE]</f>
        <v>-488.68</v>
      </c>
      <c r="Y18" s="110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6">
        <f>[LÍQUIDO]-SUMPRODUCT(N([DATA]=NOTAS_80[[#This Row],[DATA]]),N([ID]=(NOTAS_80[[#This Row],[ID]]-1)),[LÍQUIDO])</f>
        <v>-488.68</v>
      </c>
      <c r="AB18" s="110">
        <f>IF([T] = "VC", ABS([VALOR OP]) / [QTDE], [VALOR OP]/[QTDE])</f>
        <v>-0.81446666666666667</v>
      </c>
      <c r="AC18" s="110">
        <f>TRUNC(IF(OR([T]="CV",[T]="VV"),     N18*SETUP!$H$3,     0),2)</f>
        <v>0</v>
      </c>
      <c r="AD1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10">
        <f>IF([LUCRO TMP] &lt;&gt; 0, [LUCRO TMP] - SUMPRODUCT(N([ATIVO]=NOTAS_80[[#This Row],[ATIVO]]),N(['[D/N']]="N"),N([ID]&lt;NOTAS_80[[#This Row],[ID]]),N([PAR]=NOTAS_80[[#This Row],[PAR]]), [LUCRO TMP]), 0)</f>
        <v>0</v>
      </c>
      <c r="AI18" s="110">
        <f>IF([U] = "U", SUMPRODUCT(N([ID]&lt;=NOTAS_80[[#This Row],[ID]]),N([DATA BASE]=NOTAS_80[[#This Row],[DATA BASE]]), N(['[D/N']] = "N"),    [LUCRO P/ OP]), 0)</f>
        <v>0</v>
      </c>
      <c r="AJ18" s="110">
        <f>IF([U] = "U", SUMPRODUCT(N([DATA BASE]=NOTAS_80[[#This Row],[DATA BASE]]), N(['[D/N']] = "D"),    [LUCRO P/ OP]), 0)</f>
        <v>0</v>
      </c>
      <c r="AK18" s="110">
        <f>IF([U] = "U", SUMPRODUCT(N([DATA BASE]=NOTAS_80[[#This Row],[DATA BASE]]), N(['[D/N']] = "D"),    [IRRF FONTE]), 0)</f>
        <v>0</v>
      </c>
    </row>
    <row r="19" spans="1:37">
      <c r="A19" s="13">
        <v>18</v>
      </c>
      <c r="B19" s="113"/>
      <c r="C19" s="113" t="s">
        <v>145</v>
      </c>
      <c r="D19" s="113" t="s">
        <v>24</v>
      </c>
      <c r="E19" s="114">
        <v>41163</v>
      </c>
      <c r="F19" s="113">
        <v>2800</v>
      </c>
      <c r="G19" s="110">
        <v>0.17</v>
      </c>
      <c r="H19" s="109"/>
      <c r="I19" s="133">
        <v>-0.48</v>
      </c>
      <c r="J19" s="113" t="s">
        <v>6</v>
      </c>
      <c r="K19" s="114">
        <f>WORKDAY(NOTAS_80[[#This Row],[DATA]],1,0)</f>
        <v>41164</v>
      </c>
      <c r="L19" s="115">
        <f>EOMONTH(NOTAS_80[[#This Row],[DATA DE LIQUIDAÇÃO]],0)</f>
        <v>41182</v>
      </c>
      <c r="M1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10">
        <f>[QTDE]*[PREÇO]</f>
        <v>476.00000000000006</v>
      </c>
      <c r="O1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10">
        <f>TRUNC([CORR BOV] * 20% * IF([PARCIAL] &gt; 0, [QTDE] / [PARCIAL], 1),2)</f>
        <v>1.9</v>
      </c>
      <c r="U19" s="110">
        <f>SUMPRODUCT(N([DATA]=NOTAS_80[[#This Row],[DATA]]),N([ID]&lt;=NOTAS_80[[#This Row],[ID]]), [CORR])</f>
        <v>3.84</v>
      </c>
      <c r="V19" s="110">
        <f>TRUNC([CORRETAGEM]*SETUP!$F$3,2)</f>
        <v>7.0000000000000007E-2</v>
      </c>
      <c r="W19" s="110">
        <f>ROUND([CORRETAGEM]*SETUP!$G$3,2)</f>
        <v>0.15</v>
      </c>
      <c r="X19" s="110">
        <f>[VALOR LÍQUIDO DAS OPERAÇÕES]-[TAXA DE LIQUIDAÇÃO]-[EMOLUMENTOS]-[TAXA DE REGISTRO]-[CORRETAGEM]-[ISS]-IF(['[D/N']]="D",    0,    [OUTRAS BOVESPA]) - [AJUSTE]</f>
        <v>-966.85000000000014</v>
      </c>
      <c r="Y19" s="110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6">
        <f>[LÍQUIDO]-SUMPRODUCT(N([DATA]=NOTAS_80[[#This Row],[DATA]]),N([ID]=(NOTAS_80[[#This Row],[ID]]-1)),[LÍQUIDO])</f>
        <v>-478.17000000000013</v>
      </c>
      <c r="AB19" s="110">
        <f>IF([T] = "VC", ABS([VALOR OP]) / [QTDE], [VALOR OP]/[QTDE])</f>
        <v>-0.17077500000000004</v>
      </c>
      <c r="AC19" s="110">
        <f>TRUNC(IF(OR([T]="CV",[T]="VV"),     N19*SETUP!$H$3,     0),2)</f>
        <v>0</v>
      </c>
      <c r="AD1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10">
        <f>IF([LUCRO TMP] &lt;&gt; 0, [LUCRO TMP] - SUMPRODUCT(N([ATIVO]=NOTAS_80[[#This Row],[ATIVO]]),N(['[D/N']]="N"),N([ID]&lt;NOTAS_80[[#This Row],[ID]]),N([PAR]=NOTAS_80[[#This Row],[PAR]]), [LUCRO TMP]), 0)</f>
        <v>0</v>
      </c>
      <c r="AI19" s="110">
        <f>IF([U] = "U", SUMPRODUCT(N([ID]&lt;=NOTAS_80[[#This Row],[ID]]),N([DATA BASE]=NOTAS_80[[#This Row],[DATA BASE]]), N(['[D/N']] = "N"),    [LUCRO P/ OP]), 0)</f>
        <v>0</v>
      </c>
      <c r="AJ19" s="110">
        <f>IF([U] = "U", SUMPRODUCT(N([DATA BASE]=NOTAS_80[[#This Row],[DATA BASE]]), N(['[D/N']] = "D"),    [LUCRO P/ OP]), 0)</f>
        <v>0</v>
      </c>
      <c r="AK19" s="110">
        <f>IF([U] = "U", SUMPRODUCT(N([DATA BASE]=NOTAS_80[[#This Row],[DATA BASE]]), N(['[D/N']] = "D"),    [IRRF FONTE]), 0)</f>
        <v>0</v>
      </c>
    </row>
    <row r="20" spans="1:37">
      <c r="A20" s="13">
        <v>19</v>
      </c>
      <c r="B20" s="120"/>
      <c r="C20" s="113" t="s">
        <v>159</v>
      </c>
      <c r="D20" s="120" t="s">
        <v>25</v>
      </c>
      <c r="E20" s="121">
        <v>41164</v>
      </c>
      <c r="F20" s="120">
        <v>600</v>
      </c>
      <c r="G20" s="122">
        <v>1</v>
      </c>
      <c r="H20" s="134"/>
      <c r="I20" s="135"/>
      <c r="J20" s="120" t="s">
        <v>6</v>
      </c>
      <c r="K20" s="121">
        <f>WORKDAY(NOTAS_80[[#This Row],[DATA]],1,0)</f>
        <v>41165</v>
      </c>
      <c r="L20" s="123">
        <f>EOMONTH(NOTAS_80[[#This Row],[DATA DE LIQUIDAÇÃO]],0)</f>
        <v>41182</v>
      </c>
      <c r="M2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22">
        <f>[QTDE]*[PREÇO]</f>
        <v>600</v>
      </c>
      <c r="O2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22">
        <f>TRUNC([CORR BOV] * 20% * IF([PARCIAL] &gt; 0, [QTDE] / [PARCIAL], 1),2)</f>
        <v>2.29</v>
      </c>
      <c r="U20" s="122">
        <f>SUMPRODUCT(N([DATA]=NOTAS_80[[#This Row],[DATA]]),N([ID]&lt;=NOTAS_80[[#This Row],[ID]]), [CORR])</f>
        <v>2.29</v>
      </c>
      <c r="V20" s="122">
        <f>TRUNC([CORRETAGEM]*SETUP!$F$3,2)</f>
        <v>0.04</v>
      </c>
      <c r="W20" s="122">
        <f>ROUND([CORRETAGEM]*SETUP!$G$3,2)</f>
        <v>0.09</v>
      </c>
      <c r="X20" s="122">
        <f>[VALOR LÍQUIDO DAS OPERAÇÕES]-[TAXA DE LIQUIDAÇÃO]-[EMOLUMENTOS]-[TAXA DE REGISTRO]-[CORRETAGEM]-[ISS]-IF(['[D/N']]="D",    0,    [OUTRAS BOVESPA]) - [AJUSTE]</f>
        <v>596.79000000000008</v>
      </c>
      <c r="Y20" s="122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24">
        <f>[LÍQUIDO]-SUMPRODUCT(N([DATA]=NOTAS_80[[#This Row],[DATA]]),N([ID]=(NOTAS_80[[#This Row],[ID]]-1)),[LÍQUIDO])</f>
        <v>596.79000000000008</v>
      </c>
      <c r="AB20" s="122">
        <f>IF([T] = "VC", ABS([VALOR OP]) / [QTDE], [VALOR OP]/[QTDE])</f>
        <v>0.99465000000000015</v>
      </c>
      <c r="AC20" s="122">
        <f>TRUNC(IF(OR([T]="CV",[T]="VV"),     N20*SETUP!$H$3,     0),2)</f>
        <v>0.03</v>
      </c>
      <c r="AD2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22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22">
        <f>IF([U] = "U", SUMPRODUCT(N([ID]&lt;=NOTAS_80[[#This Row],[ID]]),N([DATA BASE]=NOTAS_80[[#This Row],[DATA BASE]]), N(['[D/N']] = "N"),    [LUCRO P/ OP]), 0)</f>
        <v>0</v>
      </c>
      <c r="AJ20" s="122">
        <f>IF([U] = "U", SUMPRODUCT(N([DATA BASE]=NOTAS_80[[#This Row],[DATA BASE]]), N(['[D/N']] = "D"),    [LUCRO P/ OP]), 0)</f>
        <v>0</v>
      </c>
      <c r="AK20" s="122">
        <f>IF([U] = "U", SUMPRODUCT(N([DATA BASE]=NOTAS_80[[#This Row],[DATA BASE]]), N(['[D/N']] = "D"),    [IRRF FONTE]), 0)</f>
        <v>0</v>
      </c>
    </row>
    <row r="21" spans="1:37">
      <c r="A21" s="13">
        <v>20</v>
      </c>
      <c r="B21" s="120"/>
      <c r="C21" s="113" t="s">
        <v>145</v>
      </c>
      <c r="D21" s="120" t="s">
        <v>25</v>
      </c>
      <c r="E21" s="121">
        <v>41164</v>
      </c>
      <c r="F21" s="120">
        <v>2800</v>
      </c>
      <c r="G21" s="122">
        <v>0.27</v>
      </c>
      <c r="H21" s="134"/>
      <c r="I21" s="135">
        <v>-0.52</v>
      </c>
      <c r="J21" s="120" t="s">
        <v>6</v>
      </c>
      <c r="K21" s="121">
        <f>WORKDAY(NOTAS_80[[#This Row],[DATA]],1,0)</f>
        <v>41165</v>
      </c>
      <c r="L21" s="123">
        <f>EOMONTH(NOTAS_80[[#This Row],[DATA DE LIQUIDAÇÃO]],0)</f>
        <v>41182</v>
      </c>
      <c r="M2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22">
        <f>[QTDE]*[PREÇO]</f>
        <v>756</v>
      </c>
      <c r="O2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22">
        <f>TRUNC([CORR BOV] * 20% * IF([PARCIAL] &gt; 0, [QTDE] / [PARCIAL], 1),2)</f>
        <v>2.76</v>
      </c>
      <c r="U21" s="122">
        <f>SUMPRODUCT(N([DATA]=NOTAS_80[[#This Row],[DATA]]),N([ID]&lt;=NOTAS_80[[#This Row],[ID]]), [CORR])</f>
        <v>5.05</v>
      </c>
      <c r="V21" s="122">
        <f>TRUNC([CORRETAGEM]*SETUP!$F$3,2)</f>
        <v>0.1</v>
      </c>
      <c r="W21" s="122">
        <f>ROUND([CORRETAGEM]*SETUP!$G$3,2)</f>
        <v>0.2</v>
      </c>
      <c r="X21" s="122">
        <f>[VALOR LÍQUIDO DAS OPERAÇÕES]-[TAXA DE LIQUIDAÇÃO]-[EMOLUMENTOS]-[TAXA DE REGISTRO]-[CORRETAGEM]-[ISS]-IF(['[D/N']]="D",    0,    [OUTRAS BOVESPA]) - [AJUSTE]</f>
        <v>1349.3600000000001</v>
      </c>
      <c r="Y21" s="122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24">
        <f>[LÍQUIDO]-SUMPRODUCT(N([DATA]=NOTAS_80[[#This Row],[DATA]]),N([ID]=(NOTAS_80[[#This Row],[ID]]-1)),[LÍQUIDO])</f>
        <v>752.57</v>
      </c>
      <c r="AB21" s="122">
        <f>IF([T] = "VC", ABS([VALOR OP]) / [QTDE], [VALOR OP]/[QTDE])</f>
        <v>0.26877500000000004</v>
      </c>
      <c r="AC21" s="122">
        <f>TRUNC(IF(OR([T]="CV",[T]="VV"),     N21*SETUP!$H$3,     0),2)</f>
        <v>0.03</v>
      </c>
      <c r="AD2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22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22">
        <f>IF([U] = "U", SUMPRODUCT(N([ID]&lt;=NOTAS_80[[#This Row],[ID]]),N([DATA BASE]=NOTAS_80[[#This Row],[DATA BASE]]), N(['[D/N']] = "N"),    [LUCRO P/ OP]), 0)</f>
        <v>0</v>
      </c>
      <c r="AJ21" s="122">
        <f>IF([U] = "U", SUMPRODUCT(N([DATA BASE]=NOTAS_80[[#This Row],[DATA BASE]]), N(['[D/N']] = "D"),    [LUCRO P/ OP]), 0)</f>
        <v>0</v>
      </c>
      <c r="AK21" s="122">
        <f>IF([U] = "U", SUMPRODUCT(N([DATA BASE]=NOTAS_80[[#This Row],[DATA BASE]]), N(['[D/N']] = "D"),    [IRRF FONTE]), 0)</f>
        <v>0</v>
      </c>
    </row>
    <row r="22" spans="1:37">
      <c r="A22" s="13">
        <v>21</v>
      </c>
      <c r="B22" s="113"/>
      <c r="C22" s="113" t="s">
        <v>145</v>
      </c>
      <c r="D22" s="113" t="s">
        <v>24</v>
      </c>
      <c r="E22" s="114">
        <v>41165</v>
      </c>
      <c r="F22" s="113">
        <v>1400</v>
      </c>
      <c r="G22" s="110">
        <v>0.5</v>
      </c>
      <c r="H22" s="109"/>
      <c r="I22" s="133"/>
      <c r="J22" s="113" t="s">
        <v>14</v>
      </c>
      <c r="K22" s="114">
        <f>WORKDAY(NOTAS_80[[#This Row],[DATA]],1,0)</f>
        <v>41166</v>
      </c>
      <c r="L22" s="115">
        <f>EOMONTH(NOTAS_80[[#This Row],[DATA DE LIQUIDAÇÃO]],0)</f>
        <v>41182</v>
      </c>
      <c r="M2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10">
        <f>[QTDE]*[PREÇO]</f>
        <v>700</v>
      </c>
      <c r="O2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10">
        <f>TRUNC([CORR BOV] * 20% * IF([PARCIAL] &gt; 0, [QTDE] / [PARCIAL], 1),2)</f>
        <v>2.59</v>
      </c>
      <c r="U22" s="110">
        <f>SUMPRODUCT(N([DATA]=NOTAS_80[[#This Row],[DATA]]),N([ID]&lt;=NOTAS_80[[#This Row],[ID]]), [CORR])</f>
        <v>2.59</v>
      </c>
      <c r="V22" s="110">
        <f>TRUNC([CORRETAGEM]*SETUP!$F$3,2)</f>
        <v>0.05</v>
      </c>
      <c r="W22" s="110">
        <f>ROUND([CORRETAGEM]*SETUP!$G$3,2)</f>
        <v>0.1</v>
      </c>
      <c r="X22" s="110">
        <f>[VALOR LÍQUIDO DAS OPERAÇÕES]-[TAXA DE LIQUIDAÇÃO]-[EMOLUMENTOS]-[TAXA DE REGISTRO]-[CORRETAGEM]-[ISS]-IF(['[D/N']]="D",    0,    [OUTRAS BOVESPA]) - [AJUSTE]</f>
        <v>-702.94</v>
      </c>
      <c r="Y22" s="110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6">
        <f>[LÍQUIDO]-SUMPRODUCT(N([DATA]=NOTAS_80[[#This Row],[DATA]]),N([ID]=(NOTAS_80[[#This Row],[ID]]-1)),[LÍQUIDO])</f>
        <v>-706.18000000000006</v>
      </c>
      <c r="AB22" s="110">
        <f>IF([T] = "VC", ABS([VALOR OP]) / [QTDE], [VALOR OP]/[QTDE])</f>
        <v>-0.50441428571428581</v>
      </c>
      <c r="AC22" s="110">
        <f>TRUNC(IF(OR([T]="CV",[T]="VV"),     N22*SETUP!$H$3,     0),2)</f>
        <v>0</v>
      </c>
      <c r="AD2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10">
        <f>IF([LUCRO TMP] &lt;&gt; 0, [LUCRO TMP] - SUMPRODUCT(N([ATIVO]=NOTAS_80[[#This Row],[ATIVO]]),N(['[D/N']]="N"),N([ID]&lt;NOTAS_80[[#This Row],[ID]]),N([PAR]=NOTAS_80[[#This Row],[PAR]]), [LUCRO TMP]), 0)</f>
        <v>0</v>
      </c>
      <c r="AI22" s="110">
        <f>IF([U] = "U", SUMPRODUCT(N([ID]&lt;=NOTAS_80[[#This Row],[ID]]),N([DATA BASE]=NOTAS_80[[#This Row],[DATA BASE]]), N(['[D/N']] = "N"),    [LUCRO P/ OP]), 0)</f>
        <v>0</v>
      </c>
      <c r="AJ22" s="110">
        <f>IF([U] = "U", SUMPRODUCT(N([DATA BASE]=NOTAS_80[[#This Row],[DATA BASE]]), N(['[D/N']] = "D"),    [LUCRO P/ OP]), 0)</f>
        <v>0</v>
      </c>
      <c r="AK22" s="110">
        <f>IF([U] = "U", SUMPRODUCT(N([DATA BASE]=NOTAS_80[[#This Row],[DATA BASE]]), N(['[D/N']] = "D"),    [IRRF FONTE]), 0)</f>
        <v>0</v>
      </c>
    </row>
    <row r="23" spans="1:37">
      <c r="A23" s="13">
        <v>22</v>
      </c>
      <c r="B23" s="120"/>
      <c r="C23" s="113" t="s">
        <v>145</v>
      </c>
      <c r="D23" s="120" t="s">
        <v>25</v>
      </c>
      <c r="E23" s="121">
        <v>41165</v>
      </c>
      <c r="F23" s="120">
        <v>1400</v>
      </c>
      <c r="G23" s="122">
        <v>0.35</v>
      </c>
      <c r="H23" s="134"/>
      <c r="I23" s="135"/>
      <c r="J23" s="120" t="s">
        <v>14</v>
      </c>
      <c r="K23" s="121">
        <f>WORKDAY(NOTAS_80[[#This Row],[DATA]],1,0)</f>
        <v>41166</v>
      </c>
      <c r="L23" s="123">
        <f>EOMONTH(NOTAS_80[[#This Row],[DATA DE LIQUIDAÇÃO]],0)</f>
        <v>41182</v>
      </c>
      <c r="M2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22">
        <f>[QTDE]*[PREÇO]</f>
        <v>489.99999999999994</v>
      </c>
      <c r="O2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22">
        <f>TRUNC([CORR BOV] * 20% * IF([PARCIAL] &gt; 0, [QTDE] / [PARCIAL], 1),2)</f>
        <v>1.96</v>
      </c>
      <c r="U23" s="122">
        <f>SUMPRODUCT(N([DATA]=NOTAS_80[[#This Row],[DATA]]),N([ID]&lt;=NOTAS_80[[#This Row],[ID]]), [CORR])</f>
        <v>4.55</v>
      </c>
      <c r="V23" s="122">
        <f>TRUNC([CORRETAGEM]*SETUP!$F$3,2)</f>
        <v>0.09</v>
      </c>
      <c r="W23" s="122">
        <f>ROUND([CORRETAGEM]*SETUP!$G$3,2)</f>
        <v>0.18</v>
      </c>
      <c r="X23" s="122">
        <f>[VALOR LÍQUIDO DAS OPERAÇÕES]-[TAXA DE LIQUIDAÇÃO]-[EMOLUMENTOS]-[TAXA DE REGISTRO]-[CORRETAGEM]-[ISS]-IF(['[D/N']]="D",    0,    [OUTRAS BOVESPA]) - [AJUSTE]</f>
        <v>-215.16000000000005</v>
      </c>
      <c r="Y23" s="122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24">
        <f>[LÍQUIDO]-SUMPRODUCT(N([DATA]=NOTAS_80[[#This Row],[DATA]]),N([ID]=(NOTAS_80[[#This Row],[ID]]-1)),[LÍQUIDO])</f>
        <v>487.78</v>
      </c>
      <c r="AB23" s="122">
        <f>IF([T] = "VC", ABS([VALOR OP]) / [QTDE], [VALOR OP]/[QTDE])</f>
        <v>0.34841428571428568</v>
      </c>
      <c r="AC23" s="122">
        <f>TRUNC(IF(OR([T]="CV",[T]="VV"),     N23*SETUP!$H$3,     0),2)</f>
        <v>0.02</v>
      </c>
      <c r="AD2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22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22">
        <f>IF([U] = "U", SUMPRODUCT(N([ID]&lt;=NOTAS_80[[#This Row],[ID]]),N([DATA BASE]=NOTAS_80[[#This Row],[DATA BASE]]), N(['[D/N']] = "N"),    [LUCRO P/ OP]), 0)</f>
        <v>0</v>
      </c>
      <c r="AJ23" s="122">
        <f>IF([U] = "U", SUMPRODUCT(N([DATA BASE]=NOTAS_80[[#This Row],[DATA BASE]]), N(['[D/N']] = "D"),    [LUCRO P/ OP]), 0)</f>
        <v>0</v>
      </c>
      <c r="AK23" s="122">
        <f>IF([U] = "U", SUMPRODUCT(N([DATA BASE]=NOTAS_80[[#This Row],[DATA BASE]]), N(['[D/N']] = "D"),    [IRRF FONTE]), 0)</f>
        <v>0</v>
      </c>
    </row>
    <row r="24" spans="1:37">
      <c r="A24" s="13">
        <v>23</v>
      </c>
      <c r="B24" s="113"/>
      <c r="C24" s="113" t="s">
        <v>160</v>
      </c>
      <c r="D24" s="113" t="s">
        <v>24</v>
      </c>
      <c r="E24" s="114">
        <v>41165</v>
      </c>
      <c r="F24" s="113">
        <v>1200</v>
      </c>
      <c r="G24" s="110">
        <v>0.41</v>
      </c>
      <c r="H24" s="109"/>
      <c r="I24" s="133"/>
      <c r="J24" s="113" t="s">
        <v>14</v>
      </c>
      <c r="K24" s="114">
        <f>WORKDAY(NOTAS_80[[#This Row],[DATA]],1,0)</f>
        <v>41166</v>
      </c>
      <c r="L24" s="115">
        <f>EOMONTH(NOTAS_80[[#This Row],[DATA DE LIQUIDAÇÃO]],0)</f>
        <v>41182</v>
      </c>
      <c r="M2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10">
        <f>[QTDE]*[PREÇO]</f>
        <v>491.99999999999994</v>
      </c>
      <c r="O2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10">
        <f>TRUNC([CORR BOV] * 20% * IF([PARCIAL] &gt; 0, [QTDE] / [PARCIAL], 1),2)</f>
        <v>1.96</v>
      </c>
      <c r="U24" s="110">
        <f>SUMPRODUCT(N([DATA]=NOTAS_80[[#This Row],[DATA]]),N([ID]&lt;=NOTAS_80[[#This Row],[ID]]), [CORR])</f>
        <v>6.51</v>
      </c>
      <c r="V24" s="110">
        <f>TRUNC([CORRETAGEM]*SETUP!$F$3,2)</f>
        <v>0.13</v>
      </c>
      <c r="W24" s="110">
        <f>ROUND([CORRETAGEM]*SETUP!$G$3,2)</f>
        <v>0.25</v>
      </c>
      <c r="X24" s="110">
        <f>[VALOR LÍQUIDO DAS OPERAÇÕES]-[TAXA DE LIQUIDAÇÃO]-[EMOLUMENTOS]-[TAXA DE REGISTRO]-[CORRETAGEM]-[ISS]-IF(['[D/N']]="D",    0,    [OUTRAS BOVESPA]) - [AJUSTE]</f>
        <v>-709.39</v>
      </c>
      <c r="Y24" s="110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6">
        <f>[LÍQUIDO]-SUMPRODUCT(N([DATA]=NOTAS_80[[#This Row],[DATA]]),N([ID]=(NOTAS_80[[#This Row],[ID]]-1)),[LÍQUIDO])</f>
        <v>-494.2299999999999</v>
      </c>
      <c r="AB24" s="110">
        <f>IF([T] = "VC", ABS([VALOR OP]) / [QTDE], [VALOR OP]/[QTDE])</f>
        <v>-0.41185833333333327</v>
      </c>
      <c r="AC24" s="110">
        <f>TRUNC(IF(OR([T]="CV",[T]="VV"),     N24*SETUP!$H$3,     0),2)</f>
        <v>0</v>
      </c>
      <c r="AD2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10">
        <f>IF([LUCRO TMP] &lt;&gt; 0, [LUCRO TMP] - SUMPRODUCT(N([ATIVO]=NOTAS_80[[#This Row],[ATIVO]]),N(['[D/N']]="N"),N([ID]&lt;NOTAS_80[[#This Row],[ID]]),N([PAR]=NOTAS_80[[#This Row],[PAR]]), [LUCRO TMP]), 0)</f>
        <v>0</v>
      </c>
      <c r="AI24" s="110">
        <f>IF([U] = "U", SUMPRODUCT(N([ID]&lt;=NOTAS_80[[#This Row],[ID]]),N([DATA BASE]=NOTAS_80[[#This Row],[DATA BASE]]), N(['[D/N']] = "N"),    [LUCRO P/ OP]), 0)</f>
        <v>0</v>
      </c>
      <c r="AJ24" s="110">
        <f>IF([U] = "U", SUMPRODUCT(N([DATA BASE]=NOTAS_80[[#This Row],[DATA BASE]]), N(['[D/N']] = "D"),    [LUCRO P/ OP]), 0)</f>
        <v>0</v>
      </c>
      <c r="AK24" s="110">
        <f>IF([U] = "U", SUMPRODUCT(N([DATA BASE]=NOTAS_80[[#This Row],[DATA BASE]]), N(['[D/N']] = "D"),    [IRRF FONTE]), 0)</f>
        <v>0</v>
      </c>
    </row>
    <row r="25" spans="1:37">
      <c r="A25" s="13">
        <v>24</v>
      </c>
      <c r="B25" s="120"/>
      <c r="C25" s="113" t="s">
        <v>160</v>
      </c>
      <c r="D25" s="120" t="s">
        <v>25</v>
      </c>
      <c r="E25" s="121">
        <v>41165</v>
      </c>
      <c r="F25" s="120">
        <v>1200</v>
      </c>
      <c r="G25" s="122">
        <v>0.85</v>
      </c>
      <c r="H25" s="134"/>
      <c r="I25" s="135">
        <v>-17.62</v>
      </c>
      <c r="J25" s="120" t="s">
        <v>14</v>
      </c>
      <c r="K25" s="121">
        <f>WORKDAY(NOTAS_80[[#This Row],[DATA]],1,0)</f>
        <v>41166</v>
      </c>
      <c r="L25" s="123">
        <f>EOMONTH(NOTAS_80[[#This Row],[DATA DE LIQUIDAÇÃO]],0)</f>
        <v>41182</v>
      </c>
      <c r="M2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22">
        <f>[QTDE]*[PREÇO]</f>
        <v>1020</v>
      </c>
      <c r="O2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22">
        <f>TRUNC([CORR BOV] * 20% * IF([PARCIAL] &gt; 0, [QTDE] / [PARCIAL], 1),2)</f>
        <v>3.55</v>
      </c>
      <c r="U25" s="122">
        <f>SUMPRODUCT(N([DATA]=NOTAS_80[[#This Row],[DATA]]),N([ID]&lt;=NOTAS_80[[#This Row],[ID]]), [CORR])</f>
        <v>10.059999999999999</v>
      </c>
      <c r="V25" s="122">
        <f>TRUNC([CORRETAGEM]*SETUP!$F$3,2)</f>
        <v>0.2</v>
      </c>
      <c r="W25" s="122">
        <f>ROUND([CORRETAGEM]*SETUP!$G$3,2)</f>
        <v>0.39</v>
      </c>
      <c r="X25" s="122">
        <f>[VALOR LÍQUIDO DAS OPERAÇÕES]-[TAXA DE LIQUIDAÇÃO]-[EMOLUMENTOS]-[TAXA DE REGISTRO]-[CORRETAGEM]-[ISS]-IF(['[D/N']]="D",    0,    [OUTRAS BOVESPA]) - [AJUSTE]</f>
        <v>324.16000000000003</v>
      </c>
      <c r="Y25" s="122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24">
        <f>[LÍQUIDO]-SUMPRODUCT(N([DATA]=NOTAS_80[[#This Row],[DATA]]),N([ID]=(NOTAS_80[[#This Row],[ID]]-1)),[LÍQUIDO])</f>
        <v>1033.55</v>
      </c>
      <c r="AB25" s="122">
        <f>IF([T] = "VC", ABS([VALOR OP]) / [QTDE], [VALOR OP]/[QTDE])</f>
        <v>0.86129166666666668</v>
      </c>
      <c r="AC25" s="122">
        <f>TRUNC(IF(OR([T]="CV",[T]="VV"),     N25*SETUP!$H$3,     0),2)</f>
        <v>0.05</v>
      </c>
      <c r="AD2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22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22">
        <f>IF([U] = "U", SUMPRODUCT(N([ID]&lt;=NOTAS_80[[#This Row],[ID]]),N([DATA BASE]=NOTAS_80[[#This Row],[DATA BASE]]), N(['[D/N']] = "N"),    [LUCRO P/ OP]), 0)</f>
        <v>0</v>
      </c>
      <c r="AJ25" s="122">
        <f>IF([U] = "U", SUMPRODUCT(N([DATA BASE]=NOTAS_80[[#This Row],[DATA BASE]]), N(['[D/N']] = "D"),    [LUCRO P/ OP]), 0)</f>
        <v>0</v>
      </c>
      <c r="AK25" s="122">
        <f>IF([U] = "U", SUMPRODUCT(N([DATA BASE]=NOTAS_80[[#This Row],[DATA BASE]]), N(['[D/N']] = "D"),    [IRRF FONTE]), 0)</f>
        <v>0</v>
      </c>
    </row>
    <row r="26" spans="1:37">
      <c r="A26" s="13">
        <v>25</v>
      </c>
      <c r="B26" s="113"/>
      <c r="C26" s="113" t="s">
        <v>162</v>
      </c>
      <c r="D26" s="113" t="s">
        <v>24</v>
      </c>
      <c r="E26" s="114">
        <v>41166</v>
      </c>
      <c r="F26" s="113">
        <v>1400</v>
      </c>
      <c r="G26" s="110">
        <v>0.44</v>
      </c>
      <c r="H26" s="109"/>
      <c r="I26" s="133"/>
      <c r="J26" s="113" t="s">
        <v>14</v>
      </c>
      <c r="K26" s="114">
        <f>WORKDAY(NOTAS_80[[#This Row],[DATA]],1,0)</f>
        <v>41169</v>
      </c>
      <c r="L26" s="115">
        <f>EOMONTH(NOTAS_80[[#This Row],[DATA DE LIQUIDAÇÃO]],0)</f>
        <v>41182</v>
      </c>
      <c r="M2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10">
        <f>[QTDE]*[PREÇO]</f>
        <v>616</v>
      </c>
      <c r="O2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10">
        <f>TRUNC([CORR BOV] * 20% * IF([PARCIAL] &gt; 0, [QTDE] / [PARCIAL], 1),2)</f>
        <v>2.34</v>
      </c>
      <c r="U26" s="110">
        <f>SUMPRODUCT(N([DATA]=NOTAS_80[[#This Row],[DATA]]),N([ID]&lt;=NOTAS_80[[#This Row],[ID]]), [CORR])</f>
        <v>2.34</v>
      </c>
      <c r="V26" s="110">
        <f>TRUNC([CORRETAGEM]*SETUP!$F$3,2)</f>
        <v>0.04</v>
      </c>
      <c r="W26" s="110">
        <f>ROUND([CORRETAGEM]*SETUP!$G$3,2)</f>
        <v>0.09</v>
      </c>
      <c r="X26" s="110">
        <f>[VALOR LÍQUIDO DAS OPERAÇÕES]-[TAXA DE LIQUIDAÇÃO]-[EMOLUMENTOS]-[TAXA DE REGISTRO]-[CORRETAGEM]-[ISS]-IF(['[D/N']]="D",    0,    [OUTRAS BOVESPA]) - [AJUSTE]</f>
        <v>-618.65000000000009</v>
      </c>
      <c r="Y26" s="110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6">
        <f>[LÍQUIDO]-SUMPRODUCT(N([DATA]=NOTAS_80[[#This Row],[DATA]]),N([ID]=(NOTAS_80[[#This Row],[ID]]-1)),[LÍQUIDO])</f>
        <v>-628.7700000000001</v>
      </c>
      <c r="AB26" s="110">
        <f>IF([T] = "VC", ABS([VALOR OP]) / [QTDE], [VALOR OP]/[QTDE])</f>
        <v>-0.44912142857142862</v>
      </c>
      <c r="AC26" s="110">
        <f>TRUNC(IF(OR([T]="CV",[T]="VV"),     N26*SETUP!$H$3,     0),2)</f>
        <v>0</v>
      </c>
      <c r="AD2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10">
        <f>IF([LUCRO TMP] &lt;&gt; 0, [LUCRO TMP] - SUMPRODUCT(N([ATIVO]=NOTAS_80[[#This Row],[ATIVO]]),N(['[D/N']]="N"),N([ID]&lt;NOTAS_80[[#This Row],[ID]]),N([PAR]=NOTAS_80[[#This Row],[PAR]]), [LUCRO TMP]), 0)</f>
        <v>0</v>
      </c>
      <c r="AI26" s="110">
        <f>IF([U] = "U", SUMPRODUCT(N([ID]&lt;=NOTAS_80[[#This Row],[ID]]),N([DATA BASE]=NOTAS_80[[#This Row],[DATA BASE]]), N(['[D/N']] = "N"),    [LUCRO P/ OP]), 0)</f>
        <v>0</v>
      </c>
      <c r="AJ26" s="110">
        <f>IF([U] = "U", SUMPRODUCT(N([DATA BASE]=NOTAS_80[[#This Row],[DATA BASE]]), N(['[D/N']] = "D"),    [LUCRO P/ OP]), 0)</f>
        <v>0</v>
      </c>
      <c r="AK26" s="110">
        <f>IF([U] = "U", SUMPRODUCT(N([DATA BASE]=NOTAS_80[[#This Row],[DATA BASE]]), N(['[D/N']] = "D"),    [IRRF FONTE]), 0)</f>
        <v>0</v>
      </c>
    </row>
    <row r="27" spans="1:37">
      <c r="A27" s="13">
        <v>26</v>
      </c>
      <c r="B27" s="120"/>
      <c r="C27" s="113" t="s">
        <v>162</v>
      </c>
      <c r="D27" s="120" t="s">
        <v>25</v>
      </c>
      <c r="E27" s="121">
        <v>41166</v>
      </c>
      <c r="F27" s="120">
        <v>1400</v>
      </c>
      <c r="G27" s="122">
        <v>0.84</v>
      </c>
      <c r="H27" s="134"/>
      <c r="I27" s="135"/>
      <c r="J27" s="120" t="s">
        <v>14</v>
      </c>
      <c r="K27" s="121">
        <f>WORKDAY(NOTAS_80[[#This Row],[DATA]],1,0)</f>
        <v>41169</v>
      </c>
      <c r="L27" s="123">
        <f>EOMONTH(NOTAS_80[[#This Row],[DATA DE LIQUIDAÇÃO]],0)</f>
        <v>41182</v>
      </c>
      <c r="M2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22">
        <f>[QTDE]*[PREÇO]</f>
        <v>1176</v>
      </c>
      <c r="O2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22">
        <f>TRUNC([CORR BOV] * 20% * IF([PARCIAL] &gt; 0, [QTDE] / [PARCIAL], 1),2)</f>
        <v>4.0199999999999996</v>
      </c>
      <c r="U27" s="122">
        <f>SUMPRODUCT(N([DATA]=NOTAS_80[[#This Row],[DATA]]),N([ID]&lt;=NOTAS_80[[#This Row],[ID]]), [CORR])</f>
        <v>6.3599999999999994</v>
      </c>
      <c r="V27" s="122">
        <f>TRUNC([CORRETAGEM]*SETUP!$F$3,2)</f>
        <v>0.12</v>
      </c>
      <c r="W27" s="122">
        <f>ROUND([CORRETAGEM]*SETUP!$G$3,2)</f>
        <v>0.25</v>
      </c>
      <c r="X27" s="122">
        <f>[VALOR LÍQUIDO DAS OPERAÇÕES]-[TAXA DE LIQUIDAÇÃO]-[EMOLUMENTOS]-[TAXA DE REGISTRO]-[CORRETAGEM]-[ISS]-IF(['[D/N']]="D",    0,    [OUTRAS BOVESPA]) - [AJUSTE]</f>
        <v>552.7299999999999</v>
      </c>
      <c r="Y27" s="122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24">
        <f>[LÍQUIDO]-SUMPRODUCT(N([DATA]=NOTAS_80[[#This Row],[DATA]]),N([ID]=(NOTAS_80[[#This Row],[ID]]-1)),[LÍQUIDO])</f>
        <v>1171.3800000000001</v>
      </c>
      <c r="AB27" s="122">
        <f>IF([T] = "VC", ABS([VALOR OP]) / [QTDE], [VALOR OP]/[QTDE])</f>
        <v>0.83670000000000011</v>
      </c>
      <c r="AC27" s="122">
        <f>TRUNC(IF(OR([T]="CV",[T]="VV"),     N27*SETUP!$H$3,     0),2)</f>
        <v>0.05</v>
      </c>
      <c r="AD2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22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22">
        <f>IF([U] = "U", SUMPRODUCT(N([ID]&lt;=NOTAS_80[[#This Row],[ID]]),N([DATA BASE]=NOTAS_80[[#This Row],[DATA BASE]]), N(['[D/N']] = "N"),    [LUCRO P/ OP]), 0)</f>
        <v>0</v>
      </c>
      <c r="AJ27" s="122">
        <f>IF([U] = "U", SUMPRODUCT(N([DATA BASE]=NOTAS_80[[#This Row],[DATA BASE]]), N(['[D/N']] = "D"),    [LUCRO P/ OP]), 0)</f>
        <v>0</v>
      </c>
      <c r="AK27" s="122">
        <f>IF([U] = "U", SUMPRODUCT(N([DATA BASE]=NOTAS_80[[#This Row],[DATA BASE]]), N(['[D/N']] = "D"),    [IRRF FONTE]), 0)</f>
        <v>0</v>
      </c>
    </row>
    <row r="28" spans="1:37">
      <c r="A28" s="13">
        <v>27</v>
      </c>
      <c r="B28" s="113"/>
      <c r="C28" s="113" t="s">
        <v>163</v>
      </c>
      <c r="D28" s="113" t="s">
        <v>24</v>
      </c>
      <c r="E28" s="114">
        <v>41166</v>
      </c>
      <c r="F28" s="113">
        <v>800</v>
      </c>
      <c r="G28" s="110">
        <v>0.71</v>
      </c>
      <c r="H28" s="109"/>
      <c r="I28" s="133"/>
      <c r="J28" s="113" t="s">
        <v>14</v>
      </c>
      <c r="K28" s="114">
        <f>WORKDAY(NOTAS_80[[#This Row],[DATA]],1,0)</f>
        <v>41169</v>
      </c>
      <c r="L28" s="115">
        <f>EOMONTH(NOTAS_80[[#This Row],[DATA DE LIQUIDAÇÃO]],0)</f>
        <v>41182</v>
      </c>
      <c r="M2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10">
        <f>[QTDE]*[PREÇO]</f>
        <v>568</v>
      </c>
      <c r="O2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10">
        <f>TRUNC([CORR BOV] * 20% * IF([PARCIAL] &gt; 0, [QTDE] / [PARCIAL], 1),2)</f>
        <v>2.2000000000000002</v>
      </c>
      <c r="U28" s="110">
        <f>SUMPRODUCT(N([DATA]=NOTAS_80[[#This Row],[DATA]]),N([ID]&lt;=NOTAS_80[[#This Row],[ID]]), [CORR])</f>
        <v>8.5599999999999987</v>
      </c>
      <c r="V28" s="110">
        <f>TRUNC([CORRETAGEM]*SETUP!$F$3,2)</f>
        <v>0.17</v>
      </c>
      <c r="W28" s="110">
        <f>ROUND([CORRETAGEM]*SETUP!$G$3,2)</f>
        <v>0.33</v>
      </c>
      <c r="X28" s="110">
        <f>[VALOR LÍQUIDO DAS OPERAÇÕES]-[TAXA DE LIQUIDAÇÃO]-[EMOLUMENTOS]-[TAXA DE REGISTRO]-[CORRETAGEM]-[ISS]-IF(['[D/N']]="D",    0,    [OUTRAS BOVESPA]) - [AJUSTE]</f>
        <v>-17.78</v>
      </c>
      <c r="Y28" s="110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6">
        <f>[LÍQUIDO]-SUMPRODUCT(N([DATA]=NOTAS_80[[#This Row],[DATA]]),N([ID]=(NOTAS_80[[#This Row],[ID]]-1)),[LÍQUIDO])</f>
        <v>-570.50999999999988</v>
      </c>
      <c r="AB28" s="110">
        <f>IF([T] = "VC", ABS([VALOR OP]) / [QTDE], [VALOR OP]/[QTDE])</f>
        <v>-0.71313749999999987</v>
      </c>
      <c r="AC28" s="110">
        <f>TRUNC(IF(OR([T]="CV",[T]="VV"),     N28*SETUP!$H$3,     0),2)</f>
        <v>0</v>
      </c>
      <c r="AD2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10">
        <f>IF([LUCRO TMP] &lt;&gt; 0, [LUCRO TMP] - SUMPRODUCT(N([ATIVO]=NOTAS_80[[#This Row],[ATIVO]]),N(['[D/N']]="N"),N([ID]&lt;NOTAS_80[[#This Row],[ID]]),N([PAR]=NOTAS_80[[#This Row],[PAR]]), [LUCRO TMP]), 0)</f>
        <v>0</v>
      </c>
      <c r="AI28" s="110">
        <f>IF([U] = "U", SUMPRODUCT(N([ID]&lt;=NOTAS_80[[#This Row],[ID]]),N([DATA BASE]=NOTAS_80[[#This Row],[DATA BASE]]), N(['[D/N']] = "N"),    [LUCRO P/ OP]), 0)</f>
        <v>0</v>
      </c>
      <c r="AJ28" s="110">
        <f>IF([U] = "U", SUMPRODUCT(N([DATA BASE]=NOTAS_80[[#This Row],[DATA BASE]]), N(['[D/N']] = "D"),    [LUCRO P/ OP]), 0)</f>
        <v>0</v>
      </c>
      <c r="AK28" s="110">
        <f>IF([U] = "U", SUMPRODUCT(N([DATA BASE]=NOTAS_80[[#This Row],[DATA BASE]]), N(['[D/N']] = "D"),    [IRRF FONTE]), 0)</f>
        <v>0</v>
      </c>
    </row>
    <row r="29" spans="1:37">
      <c r="A29" s="13">
        <v>28</v>
      </c>
      <c r="B29" s="120"/>
      <c r="C29" s="113" t="s">
        <v>163</v>
      </c>
      <c r="D29" s="120" t="s">
        <v>25</v>
      </c>
      <c r="E29" s="121">
        <v>41166</v>
      </c>
      <c r="F29" s="120">
        <v>800</v>
      </c>
      <c r="G29" s="122">
        <v>0.59</v>
      </c>
      <c r="H29" s="134"/>
      <c r="I29" s="135">
        <v>-8.1</v>
      </c>
      <c r="J29" s="120" t="s">
        <v>14</v>
      </c>
      <c r="K29" s="121">
        <f>WORKDAY(NOTAS_80[[#This Row],[DATA]],1,0)</f>
        <v>41169</v>
      </c>
      <c r="L29" s="123">
        <f>EOMONTH(NOTAS_80[[#This Row],[DATA DE LIQUIDAÇÃO]],0)</f>
        <v>41182</v>
      </c>
      <c r="M29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22">
        <f>[QTDE]*[PREÇO]</f>
        <v>472</v>
      </c>
      <c r="O29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22">
        <f>TRUNC([CORR BOV] * 20% * IF([PARCIAL] &gt; 0, [QTDE] / [PARCIAL], 1),2)</f>
        <v>1.88</v>
      </c>
      <c r="U29" s="122">
        <f>SUMPRODUCT(N([DATA]=NOTAS_80[[#This Row],[DATA]]),N([ID]&lt;=NOTAS_80[[#This Row],[ID]]), [CORR])</f>
        <v>10.439999999999998</v>
      </c>
      <c r="V29" s="122">
        <f>TRUNC([CORRETAGEM]*SETUP!$F$3,2)</f>
        <v>0.2</v>
      </c>
      <c r="W29" s="122">
        <f>ROUND([CORRETAGEM]*SETUP!$G$3,2)</f>
        <v>0.41</v>
      </c>
      <c r="X29" s="122">
        <f>[VALOR LÍQUIDO DAS OPERAÇÕES]-[TAXA DE LIQUIDAÇÃO]-[EMOLUMENTOS]-[TAXA DE REGISTRO]-[CORRETAGEM]-[ISS]-IF(['[D/N']]="D",    0,    [OUTRAS BOVESPA]) - [AJUSTE]</f>
        <v>460.21000000000004</v>
      </c>
      <c r="Y29" s="122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24">
        <f>[LÍQUIDO]-SUMPRODUCT(N([DATA]=NOTAS_80[[#This Row],[DATA]]),N([ID]=(NOTAS_80[[#This Row],[ID]]-1)),[LÍQUIDO])</f>
        <v>477.99</v>
      </c>
      <c r="AB29" s="122">
        <f>IF([T] = "VC", ABS([VALOR OP]) / [QTDE], [VALOR OP]/[QTDE])</f>
        <v>0.59748750000000006</v>
      </c>
      <c r="AC29" s="122">
        <f>TRUNC(IF(OR([T]="CV",[T]="VV"),     N29*SETUP!$H$3,     0),2)</f>
        <v>0.02</v>
      </c>
      <c r="AD29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22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22">
        <f>IF([U] = "U", SUMPRODUCT(N([ID]&lt;=NOTAS_80[[#This Row],[ID]]),N([DATA BASE]=NOTAS_80[[#This Row],[DATA BASE]]), N(['[D/N']] = "N"),    [LUCRO P/ OP]), 0)</f>
        <v>0</v>
      </c>
      <c r="AJ29" s="122">
        <f>IF([U] = "U", SUMPRODUCT(N([DATA BASE]=NOTAS_80[[#This Row],[DATA BASE]]), N(['[D/N']] = "D"),    [LUCRO P/ OP]), 0)</f>
        <v>0</v>
      </c>
      <c r="AK29" s="122">
        <f>IF([U] = "U", SUMPRODUCT(N([DATA BASE]=NOTAS_80[[#This Row],[DATA BASE]]), N(['[D/N']] = "D"),    [IRRF FONTE]), 0)</f>
        <v>0</v>
      </c>
    </row>
    <row r="30" spans="1:37">
      <c r="A30" s="13">
        <v>29</v>
      </c>
      <c r="B30" s="113"/>
      <c r="C30" s="113" t="s">
        <v>161</v>
      </c>
      <c r="D30" s="113" t="s">
        <v>24</v>
      </c>
      <c r="E30" s="114">
        <v>41169</v>
      </c>
      <c r="F30" s="113">
        <v>600</v>
      </c>
      <c r="G30" s="110">
        <v>1.86</v>
      </c>
      <c r="H30" s="109"/>
      <c r="I30" s="133"/>
      <c r="J30" s="113" t="s">
        <v>14</v>
      </c>
      <c r="K30" s="114">
        <f>WORKDAY(NOTAS_80[[#This Row],[DATA]],1,0)</f>
        <v>41170</v>
      </c>
      <c r="L30" s="115">
        <f>EOMONTH(NOTAS_80[[#This Row],[DATA DE LIQUIDAÇÃO]],0)</f>
        <v>41182</v>
      </c>
      <c r="M30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10">
        <f>[QTDE]*[PREÇO]</f>
        <v>1116</v>
      </c>
      <c r="O30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10">
        <f>TRUNC([CORR BOV] * 20% * IF([PARCIAL] &gt; 0, [QTDE] / [PARCIAL], 1),2)</f>
        <v>3.84</v>
      </c>
      <c r="U30" s="110">
        <f>SUMPRODUCT(N([DATA]=NOTAS_80[[#This Row],[DATA]]),N([ID]&lt;=NOTAS_80[[#This Row],[ID]]), [CORR])</f>
        <v>3.84</v>
      </c>
      <c r="V30" s="110">
        <f>TRUNC([CORRETAGEM]*SETUP!$F$3,2)</f>
        <v>7.0000000000000007E-2</v>
      </c>
      <c r="W30" s="110">
        <f>ROUND([CORRETAGEM]*SETUP!$G$3,2)</f>
        <v>0.15</v>
      </c>
      <c r="X30" s="110">
        <f>[VALOR LÍQUIDO DAS OPERAÇÕES]-[TAXA DE LIQUIDAÇÃO]-[EMOLUMENTOS]-[TAXA DE REGISTRO]-[CORRETAGEM]-[ISS]-IF(['[D/N']]="D",    0,    [OUTRAS BOVESPA]) - [AJUSTE]</f>
        <v>-1120.4000000000001</v>
      </c>
      <c r="Y30" s="110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6">
        <f>[LÍQUIDO]-SUMPRODUCT(N([DATA]=NOTAS_80[[#This Row],[DATA]]),N([ID]=(NOTAS_80[[#This Row],[ID]]-1)),[LÍQUIDO])</f>
        <v>-1120.4000000000001</v>
      </c>
      <c r="AB30" s="110">
        <f>IF([T] = "VC", ABS([VALOR OP]) / [QTDE], [VALOR OP]/[QTDE])</f>
        <v>-1.8673333333333335</v>
      </c>
      <c r="AC30" s="110">
        <f>TRUNC(IF(OR([T]="CV",[T]="VV"),     N30*SETUP!$H$3,     0),2)</f>
        <v>0</v>
      </c>
      <c r="AD30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10">
        <f>IF([LUCRO TMP] &lt;&gt; 0, [LUCRO TMP] - SUMPRODUCT(N([ATIVO]=NOTAS_80[[#This Row],[ATIVO]]),N(['[D/N']]="N"),N([ID]&lt;NOTAS_80[[#This Row],[ID]]),N([PAR]=NOTAS_80[[#This Row],[PAR]]), [LUCRO TMP]), 0)</f>
        <v>0</v>
      </c>
      <c r="AI30" s="110">
        <f>IF([U] = "U", SUMPRODUCT(N([ID]&lt;=NOTAS_80[[#This Row],[ID]]),N([DATA BASE]=NOTAS_80[[#This Row],[DATA BASE]]), N(['[D/N']] = "N"),    [LUCRO P/ OP]), 0)</f>
        <v>0</v>
      </c>
      <c r="AJ30" s="110">
        <f>IF([U] = "U", SUMPRODUCT(N([DATA BASE]=NOTAS_80[[#This Row],[DATA BASE]]), N(['[D/N']] = "D"),    [LUCRO P/ OP]), 0)</f>
        <v>0</v>
      </c>
      <c r="AK30" s="110">
        <f>IF([U] = "U", SUMPRODUCT(N([DATA BASE]=NOTAS_80[[#This Row],[DATA BASE]]), N(['[D/N']] = "D"),    [IRRF FONTE]), 0)</f>
        <v>0</v>
      </c>
    </row>
    <row r="31" spans="1:37">
      <c r="A31" s="13">
        <v>30</v>
      </c>
      <c r="B31" s="120"/>
      <c r="C31" s="113" t="s">
        <v>161</v>
      </c>
      <c r="D31" s="120" t="s">
        <v>25</v>
      </c>
      <c r="E31" s="121">
        <v>41169</v>
      </c>
      <c r="F31" s="120">
        <v>600</v>
      </c>
      <c r="G31" s="122">
        <v>1.85</v>
      </c>
      <c r="H31" s="134"/>
      <c r="I31" s="135">
        <v>-0.97</v>
      </c>
      <c r="J31" s="120" t="s">
        <v>14</v>
      </c>
      <c r="K31" s="121">
        <f>WORKDAY(NOTAS_80[[#This Row],[DATA]],1,0)</f>
        <v>41170</v>
      </c>
      <c r="L31" s="123">
        <f>EOMONTH(NOTAS_80[[#This Row],[DATA DE LIQUIDAÇÃO]],0)</f>
        <v>41182</v>
      </c>
      <c r="M3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22">
        <f>[QTDE]*[PREÇO]</f>
        <v>1110</v>
      </c>
      <c r="O3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22">
        <f>TRUNC([CORR BOV] * 20% * IF([PARCIAL] &gt; 0, [QTDE] / [PARCIAL], 1),2)</f>
        <v>3.82</v>
      </c>
      <c r="U31" s="122">
        <f>SUMPRODUCT(N([DATA]=NOTAS_80[[#This Row],[DATA]]),N([ID]&lt;=NOTAS_80[[#This Row],[ID]]), [CORR])</f>
        <v>7.66</v>
      </c>
      <c r="V31" s="122">
        <f>TRUNC([CORRETAGEM]*SETUP!$F$3,2)</f>
        <v>0.15</v>
      </c>
      <c r="W31" s="122">
        <f>ROUND([CORRETAGEM]*SETUP!$G$3,2)</f>
        <v>0.3</v>
      </c>
      <c r="X31" s="122">
        <f>[VALOR LÍQUIDO DAS OPERAÇÕES]-[TAXA DE LIQUIDAÇÃO]-[EMOLUMENTOS]-[TAXA DE REGISTRO]-[CORRETAGEM]-[ISS]-IF(['[D/N']]="D",    0,    [OUTRAS BOVESPA]) - [AJUSTE]</f>
        <v>-13.83</v>
      </c>
      <c r="Y31" s="122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24">
        <f>[LÍQUIDO]-SUMPRODUCT(N([DATA]=NOTAS_80[[#This Row],[DATA]]),N([ID]=(NOTAS_80[[#This Row],[ID]]-1)),[LÍQUIDO])</f>
        <v>1106.5700000000002</v>
      </c>
      <c r="AB31" s="122">
        <f>IF([T] = "VC", ABS([VALOR OP]) / [QTDE], [VALOR OP]/[QTDE])</f>
        <v>1.8442833333333335</v>
      </c>
      <c r="AC31" s="122">
        <f>TRUNC(IF(OR([T]="CV",[T]="VV"),     N31*SETUP!$H$3,     0),2)</f>
        <v>0.05</v>
      </c>
      <c r="AD3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22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22">
        <f>IF([U] = "U", SUMPRODUCT(N([ID]&lt;=NOTAS_80[[#This Row],[ID]]),N([DATA BASE]=NOTAS_80[[#This Row],[DATA BASE]]), N(['[D/N']] = "N"),    [LUCRO P/ OP]), 0)</f>
        <v>0</v>
      </c>
      <c r="AJ31" s="122">
        <f>IF([U] = "U", SUMPRODUCT(N([DATA BASE]=NOTAS_80[[#This Row],[DATA BASE]]), N(['[D/N']] = "D"),    [LUCRO P/ OP]), 0)</f>
        <v>0</v>
      </c>
      <c r="AK31" s="122">
        <f>IF([U] = "U", SUMPRODUCT(N([DATA BASE]=NOTAS_80[[#This Row],[DATA BASE]]), N(['[D/N']] = "D"),    [IRRF FONTE]), 0)</f>
        <v>0</v>
      </c>
    </row>
    <row r="32" spans="1:37">
      <c r="A32" s="13">
        <v>31</v>
      </c>
      <c r="B32" s="113"/>
      <c r="C32" s="113" t="s">
        <v>164</v>
      </c>
      <c r="D32" s="113" t="s">
        <v>24</v>
      </c>
      <c r="E32" s="114">
        <v>41170</v>
      </c>
      <c r="F32" s="113">
        <v>600</v>
      </c>
      <c r="G32" s="110">
        <v>1.67</v>
      </c>
      <c r="H32" s="109"/>
      <c r="I32" s="133"/>
      <c r="J32" s="113" t="s">
        <v>14</v>
      </c>
      <c r="K32" s="114">
        <f>WORKDAY(NOTAS_80[[#This Row],[DATA]],1,0)</f>
        <v>41171</v>
      </c>
      <c r="L32" s="115">
        <f>EOMONTH(NOTAS_80[[#This Row],[DATA DE LIQUIDAÇÃO]],0)</f>
        <v>41182</v>
      </c>
      <c r="M3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10">
        <f>[QTDE]*[PREÇO]</f>
        <v>1002</v>
      </c>
      <c r="O3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10">
        <f>TRUNC([CORR BOV] * 20% * IF([PARCIAL] &gt; 0, [QTDE] / [PARCIAL], 1),2)</f>
        <v>3.5</v>
      </c>
      <c r="U32" s="110">
        <f>SUMPRODUCT(N([DATA]=NOTAS_80[[#This Row],[DATA]]),N([ID]&lt;=NOTAS_80[[#This Row],[ID]]), [CORR])</f>
        <v>3.5</v>
      </c>
      <c r="V32" s="110">
        <f>TRUNC([CORRETAGEM]*SETUP!$F$3,2)</f>
        <v>7.0000000000000007E-2</v>
      </c>
      <c r="W32" s="110">
        <f>ROUND([CORRETAGEM]*SETUP!$G$3,2)</f>
        <v>0.14000000000000001</v>
      </c>
      <c r="X32" s="110">
        <f>[VALOR LÍQUIDO DAS OPERAÇÕES]-[TAXA DE LIQUIDAÇÃO]-[EMOLUMENTOS]-[TAXA DE REGISTRO]-[CORRETAGEM]-[ISS]-IF(['[D/N']]="D",    0,    [OUTRAS BOVESPA]) - [AJUSTE]</f>
        <v>-1006.02</v>
      </c>
      <c r="Y32" s="110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6">
        <f>[LÍQUIDO]-SUMPRODUCT(N([DATA]=NOTAS_80[[#This Row],[DATA]]),N([ID]=(NOTAS_80[[#This Row],[ID]]-1)),[LÍQUIDO])</f>
        <v>-1006.02</v>
      </c>
      <c r="AB32" s="110">
        <f>IF([T] = "VC", ABS([VALOR OP]) / [QTDE], [VALOR OP]/[QTDE])</f>
        <v>-1.6767000000000001</v>
      </c>
      <c r="AC32" s="110">
        <f>TRUNC(IF(OR([T]="CV",[T]="VV"),     N32*SETUP!$H$3,     0),2)</f>
        <v>0</v>
      </c>
      <c r="AD3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10">
        <f>IF([LUCRO TMP] &lt;&gt; 0, [LUCRO TMP] - SUMPRODUCT(N([ATIVO]=NOTAS_80[[#This Row],[ATIVO]]),N(['[D/N']]="N"),N([ID]&lt;NOTAS_80[[#This Row],[ID]]),N([PAR]=NOTAS_80[[#This Row],[PAR]]), [LUCRO TMP]), 0)</f>
        <v>0</v>
      </c>
      <c r="AI32" s="110">
        <f>IF([U] = "U", SUMPRODUCT(N([ID]&lt;=NOTAS_80[[#This Row],[ID]]),N([DATA BASE]=NOTAS_80[[#This Row],[DATA BASE]]), N(['[D/N']] = "N"),    [LUCRO P/ OP]), 0)</f>
        <v>0</v>
      </c>
      <c r="AJ32" s="110">
        <f>IF([U] = "U", SUMPRODUCT(N([DATA BASE]=NOTAS_80[[#This Row],[DATA BASE]]), N(['[D/N']] = "D"),    [LUCRO P/ OP]), 0)</f>
        <v>0</v>
      </c>
      <c r="AK32" s="110">
        <f>IF([U] = "U", SUMPRODUCT(N([DATA BASE]=NOTAS_80[[#This Row],[DATA BASE]]), N(['[D/N']] = "D"),    [IRRF FONTE]), 0)</f>
        <v>0</v>
      </c>
    </row>
    <row r="33" spans="1:37">
      <c r="A33" s="13">
        <v>32</v>
      </c>
      <c r="B33" s="113"/>
      <c r="C33" s="113" t="s">
        <v>164</v>
      </c>
      <c r="D33" s="120" t="s">
        <v>25</v>
      </c>
      <c r="E33" s="121">
        <v>41170</v>
      </c>
      <c r="F33" s="120">
        <v>600</v>
      </c>
      <c r="G33" s="122">
        <v>1.64</v>
      </c>
      <c r="H33" s="134"/>
      <c r="I33" s="135">
        <v>5.24</v>
      </c>
      <c r="J33" s="120" t="s">
        <v>14</v>
      </c>
      <c r="K33" s="114">
        <f>WORKDAY(NOTAS_80[[#This Row],[DATA]],1,0)</f>
        <v>41171</v>
      </c>
      <c r="L33" s="115">
        <f>EOMONTH(NOTAS_80[[#This Row],[DATA DE LIQUIDAÇÃO]],0)</f>
        <v>41182</v>
      </c>
      <c r="M3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10">
        <f>[QTDE]*[PREÇO]</f>
        <v>983.99999999999989</v>
      </c>
      <c r="O3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10">
        <f>TRUNC([CORR BOV] * 20% * IF([PARCIAL] &gt; 0, [QTDE] / [PARCIAL], 1),2)</f>
        <v>3.45</v>
      </c>
      <c r="U33" s="110">
        <f>SUMPRODUCT(N([DATA]=NOTAS_80[[#This Row],[DATA]]),N([ID]&lt;=NOTAS_80[[#This Row],[ID]]), [CORR])</f>
        <v>6.95</v>
      </c>
      <c r="V33" s="110">
        <f>TRUNC([CORRETAGEM]*SETUP!$F$3,2)</f>
        <v>0.13</v>
      </c>
      <c r="W33" s="110">
        <f>ROUND([CORRETAGEM]*SETUP!$G$3,2)</f>
        <v>0.27</v>
      </c>
      <c r="X33" s="110">
        <f>[VALOR LÍQUIDO DAS OPERAÇÕES]-[TAXA DE LIQUIDAÇÃO]-[EMOLUMENTOS]-[TAXA DE REGISTRO]-[CORRETAGEM]-[ISS]-IF(['[D/N']]="D",    0,    [OUTRAS BOVESPA]) - [AJUSTE]</f>
        <v>-31.190000000000111</v>
      </c>
      <c r="Y33" s="110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6">
        <f>[LÍQUIDO]-SUMPRODUCT(N([DATA]=NOTAS_80[[#This Row],[DATA]]),N([ID]=(NOTAS_80[[#This Row],[ID]]-1)),[LÍQUIDO])</f>
        <v>974.82999999999993</v>
      </c>
      <c r="AB33" s="110">
        <f>IF([T] = "VC", ABS([VALOR OP]) / [QTDE], [VALOR OP]/[QTDE])</f>
        <v>1.6247166666666666</v>
      </c>
      <c r="AC33" s="110">
        <f>TRUNC(IF(OR([T]="CV",[T]="VV"),     N33*SETUP!$H$3,     0),2)</f>
        <v>0.04</v>
      </c>
      <c r="AD3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10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10">
        <f>IF([U] = "U", SUMPRODUCT(N([ID]&lt;=NOTAS_80[[#This Row],[ID]]),N([DATA BASE]=NOTAS_80[[#This Row],[DATA BASE]]), N(['[D/N']] = "N"),    [LUCRO P/ OP]), 0)</f>
        <v>0</v>
      </c>
      <c r="AJ33" s="110">
        <f>IF([U] = "U", SUMPRODUCT(N([DATA BASE]=NOTAS_80[[#This Row],[DATA BASE]]), N(['[D/N']] = "D"),    [LUCRO P/ OP]), 0)</f>
        <v>0</v>
      </c>
      <c r="AK33" s="110">
        <f>IF([U] = "U", SUMPRODUCT(N([DATA BASE]=NOTAS_80[[#This Row],[DATA BASE]]), N(['[D/N']] = "D"),    [IRRF FONTE]), 0)</f>
        <v>0</v>
      </c>
    </row>
    <row r="34" spans="1:37">
      <c r="A34" s="13">
        <v>33</v>
      </c>
      <c r="B34" s="120"/>
      <c r="C34" s="113" t="s">
        <v>165</v>
      </c>
      <c r="D34" s="113" t="s">
        <v>24</v>
      </c>
      <c r="E34" s="114">
        <v>41171</v>
      </c>
      <c r="F34" s="113">
        <v>400</v>
      </c>
      <c r="G34" s="110">
        <v>1.75</v>
      </c>
      <c r="H34" s="109"/>
      <c r="I34" s="133"/>
      <c r="J34" s="113" t="s">
        <v>14</v>
      </c>
      <c r="K34" s="121">
        <f>WORKDAY(NOTAS_80[[#This Row],[DATA]],1,0)</f>
        <v>41172</v>
      </c>
      <c r="L34" s="123">
        <f>EOMONTH(NOTAS_80[[#This Row],[DATA DE LIQUIDAÇÃO]],0)</f>
        <v>41182</v>
      </c>
      <c r="M34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22">
        <f>[QTDE]*[PREÇO]</f>
        <v>700</v>
      </c>
      <c r="O34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22">
        <f>TRUNC([CORR BOV] * 20% * IF([PARCIAL] &gt; 0, [QTDE] / [PARCIAL], 1),2)</f>
        <v>2.59</v>
      </c>
      <c r="U34" s="122">
        <f>SUMPRODUCT(N([DATA]=NOTAS_80[[#This Row],[DATA]]),N([ID]&lt;=NOTAS_80[[#This Row],[ID]]), [CORR])</f>
        <v>2.59</v>
      </c>
      <c r="V34" s="122">
        <f>TRUNC([CORRETAGEM]*SETUP!$F$3,2)</f>
        <v>0.05</v>
      </c>
      <c r="W34" s="122">
        <f>ROUND([CORRETAGEM]*SETUP!$G$3,2)</f>
        <v>0.1</v>
      </c>
      <c r="X34" s="122">
        <f>[VALOR LÍQUIDO DAS OPERAÇÕES]-[TAXA DE LIQUIDAÇÃO]-[EMOLUMENTOS]-[TAXA DE REGISTRO]-[CORRETAGEM]-[ISS]-IF(['[D/N']]="D",    0,    [OUTRAS BOVESPA]) - [AJUSTE]</f>
        <v>-702.94</v>
      </c>
      <c r="Y34" s="122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24">
        <f>[LÍQUIDO]-SUMPRODUCT(N([DATA]=NOTAS_80[[#This Row],[DATA]]),N([ID]=(NOTAS_80[[#This Row],[ID]]-1)),[LÍQUIDO])</f>
        <v>-702.94</v>
      </c>
      <c r="AB34" s="122">
        <f>IF([T] = "VC", ABS([VALOR OP]) / [QTDE], [VALOR OP]/[QTDE])</f>
        <v>-1.7573500000000002</v>
      </c>
      <c r="AC34" s="122">
        <f>TRUNC(IF(OR([T]="CV",[T]="VV"),     N34*SETUP!$H$3,     0),2)</f>
        <v>0</v>
      </c>
      <c r="AD34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22">
        <f>IF([LUCRO TMP] &lt;&gt; 0, [LUCRO TMP] - SUMPRODUCT(N([ATIVO]=NOTAS_80[[#This Row],[ATIVO]]),N(['[D/N']]="N"),N([ID]&lt;NOTAS_80[[#This Row],[ID]]),N([PAR]=NOTAS_80[[#This Row],[PAR]]), [LUCRO TMP]), 0)</f>
        <v>0</v>
      </c>
      <c r="AI34" s="122">
        <f>IF([U] = "U", SUMPRODUCT(N([ID]&lt;=NOTAS_80[[#This Row],[ID]]),N([DATA BASE]=NOTAS_80[[#This Row],[DATA BASE]]), N(['[D/N']] = "N"),    [LUCRO P/ OP]), 0)</f>
        <v>0</v>
      </c>
      <c r="AJ34" s="122">
        <f>IF([U] = "U", SUMPRODUCT(N([DATA BASE]=NOTAS_80[[#This Row],[DATA BASE]]), N(['[D/N']] = "D"),    [LUCRO P/ OP]), 0)</f>
        <v>0</v>
      </c>
      <c r="AK34" s="122">
        <f>IF([U] = "U", SUMPRODUCT(N([DATA BASE]=NOTAS_80[[#This Row],[DATA BASE]]), N(['[D/N']] = "D"),    [IRRF FONTE]), 0)</f>
        <v>0</v>
      </c>
    </row>
    <row r="35" spans="1:37">
      <c r="A35" s="120">
        <v>34</v>
      </c>
      <c r="B35" s="120"/>
      <c r="C35" s="113" t="s">
        <v>165</v>
      </c>
      <c r="D35" s="120" t="s">
        <v>25</v>
      </c>
      <c r="E35" s="121">
        <v>41171</v>
      </c>
      <c r="F35" s="120">
        <v>400</v>
      </c>
      <c r="G35" s="122">
        <v>1.64</v>
      </c>
      <c r="H35" s="134"/>
      <c r="I35" s="135">
        <v>-0.32</v>
      </c>
      <c r="J35" s="120" t="s">
        <v>14</v>
      </c>
      <c r="K35" s="121">
        <f>WORKDAY(NOTAS_80[[#This Row],[DATA]],1,0)</f>
        <v>41172</v>
      </c>
      <c r="L35" s="123">
        <f>EOMONTH(NOTAS_80[[#This Row],[DATA DE LIQUIDAÇÃO]],0)</f>
        <v>41182</v>
      </c>
      <c r="M3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22">
        <f>[QTDE]*[PREÇO]</f>
        <v>656</v>
      </c>
      <c r="O3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22">
        <f>TRUNC([CORR BOV] * 20% * IF([PARCIAL] &gt; 0, [QTDE] / [PARCIAL], 1),2)</f>
        <v>2.46</v>
      </c>
      <c r="U35" s="122">
        <f>SUMPRODUCT(N([DATA]=NOTAS_80[[#This Row],[DATA]]),N([ID]&lt;=NOTAS_80[[#This Row],[ID]]), [CORR])</f>
        <v>5.05</v>
      </c>
      <c r="V35" s="122">
        <f>TRUNC([CORRETAGEM]*SETUP!$F$3,2)</f>
        <v>0.1</v>
      </c>
      <c r="W35" s="122">
        <f>ROUND([CORRETAGEM]*SETUP!$G$3,2)</f>
        <v>0.2</v>
      </c>
      <c r="X35" s="122">
        <f>[VALOR LÍQUIDO DAS OPERAÇÕES]-[TAXA DE LIQUIDAÇÃO]-[EMOLUMENTOS]-[TAXA DE REGISTRO]-[CORRETAGEM]-[ISS]-IF(['[D/N']]="D",    0,    [OUTRAS BOVESPA]) - [AJUSTE]</f>
        <v>-49.43</v>
      </c>
      <c r="Y35" s="122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24">
        <f>[LÍQUIDO]-SUMPRODUCT(N([DATA]=NOTAS_80[[#This Row],[DATA]]),N([ID]=(NOTAS_80[[#This Row],[ID]]-1)),[LÍQUIDO])</f>
        <v>653.5100000000001</v>
      </c>
      <c r="AB35" s="122">
        <f>IF([T] = "VC", ABS([VALOR OP]) / [QTDE], [VALOR OP]/[QTDE])</f>
        <v>1.6337750000000002</v>
      </c>
      <c r="AC35" s="122">
        <f>TRUNC(IF(OR([T]="CV",[T]="VV"),     N35*SETUP!$H$3,     0),2)</f>
        <v>0.03</v>
      </c>
      <c r="AD3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22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22">
        <f>IF([U] = "U", SUMPRODUCT(N([ID]&lt;=NOTAS_80[[#This Row],[ID]]),N([DATA BASE]=NOTAS_80[[#This Row],[DATA BASE]]), N(['[D/N']] = "N"),    [LUCRO P/ OP]), 0)</f>
        <v>0</v>
      </c>
      <c r="AJ35" s="122">
        <f>IF([U] = "U", SUMPRODUCT(N([DATA BASE]=NOTAS_80[[#This Row],[DATA BASE]]), N(['[D/N']] = "D"),    [LUCRO P/ OP]), 0)</f>
        <v>0</v>
      </c>
      <c r="AK35" s="122">
        <f>IF([U] = "U", SUMPRODUCT(N([DATA BASE]=NOTAS_80[[#This Row],[DATA BASE]]), N(['[D/N']] = "D"),    [IRRF FONTE]), 0)</f>
        <v>0</v>
      </c>
    </row>
    <row r="36" spans="1:37">
      <c r="A36" s="13">
        <v>35</v>
      </c>
      <c r="B36" s="113"/>
      <c r="C36" s="113" t="s">
        <v>166</v>
      </c>
      <c r="D36" s="113" t="s">
        <v>24</v>
      </c>
      <c r="E36" s="114">
        <v>41172</v>
      </c>
      <c r="F36" s="113">
        <v>600</v>
      </c>
      <c r="G36" s="110">
        <v>1.1299999999999999</v>
      </c>
      <c r="H36" s="109"/>
      <c r="I36" s="133"/>
      <c r="J36" s="113" t="s">
        <v>14</v>
      </c>
      <c r="K36" s="114">
        <f>WORKDAY(NOTAS_80[[#This Row],[DATA]],1,0)</f>
        <v>41173</v>
      </c>
      <c r="L36" s="115">
        <f>EOMONTH(NOTAS_80[[#This Row],[DATA DE LIQUIDAÇÃO]],0)</f>
        <v>41182</v>
      </c>
      <c r="M3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10">
        <f>[QTDE]*[PREÇO]</f>
        <v>677.99999999999989</v>
      </c>
      <c r="O3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10">
        <f>TRUNC([CORR BOV] * 20% * IF([PARCIAL] &gt; 0, [QTDE] / [PARCIAL], 1),2)</f>
        <v>2.5299999999999998</v>
      </c>
      <c r="U36" s="110">
        <f>SUMPRODUCT(N([DATA]=NOTAS_80[[#This Row],[DATA]]),N([ID]&lt;=NOTAS_80[[#This Row],[ID]]), [CORR])</f>
        <v>2.5299999999999998</v>
      </c>
      <c r="V36" s="110">
        <f>TRUNC([CORRETAGEM]*SETUP!$F$3,2)</f>
        <v>0.05</v>
      </c>
      <c r="W36" s="110">
        <f>ROUND([CORRETAGEM]*SETUP!$G$3,2)</f>
        <v>0.1</v>
      </c>
      <c r="X36" s="110">
        <f>[VALOR LÍQUIDO DAS OPERAÇÕES]-[TAXA DE LIQUIDAÇÃO]-[EMOLUMENTOS]-[TAXA DE REGISTRO]-[CORRETAGEM]-[ISS]-IF(['[D/N']]="D",    0,    [OUTRAS BOVESPA]) - [AJUSTE]</f>
        <v>-680.87999999999988</v>
      </c>
      <c r="Y36" s="110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-682.7299999999999</v>
      </c>
      <c r="AA36" s="116">
        <f>[LÍQUIDO]-SUMPRODUCT(N([DATA]=NOTAS_80[[#This Row],[DATA]]),N([ID]=(NOTAS_80[[#This Row],[ID]]-1)),[LÍQUIDO])</f>
        <v>-682.7299999999999</v>
      </c>
      <c r="AB36" s="110">
        <f>IF([T] = "VC", ABS([VALOR OP]) / [QTDE], [VALOR OP]/[QTDE])</f>
        <v>-1.1378833333333331</v>
      </c>
      <c r="AC36" s="110">
        <f>TRUNC(IF(OR([T]="CV",[T]="VV"),     N36*SETUP!$H$3,     0),2)</f>
        <v>0</v>
      </c>
      <c r="AD3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1.1378833333333331</v>
      </c>
      <c r="AF3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10">
        <f>IF([LUCRO TMP] &lt;&gt; 0, [LUCRO TMP] - SUMPRODUCT(N([ATIVO]=NOTAS_80[[#This Row],[ATIVO]]),N(['[D/N']]="N"),N([ID]&lt;NOTAS_80[[#This Row],[ID]]),N([PAR]=NOTAS_80[[#This Row],[PAR]]), [LUCRO TMP]), 0)</f>
        <v>0</v>
      </c>
      <c r="AI36" s="110">
        <f>IF([U] = "U", SUMPRODUCT(N([ID]&lt;=NOTAS_80[[#This Row],[ID]]),N([DATA BASE]=NOTAS_80[[#This Row],[DATA BASE]]), N(['[D/N']] = "N"),    [LUCRO P/ OP]), 0)</f>
        <v>0</v>
      </c>
      <c r="AJ36" s="110">
        <f>IF([U] = "U", SUMPRODUCT(N([DATA BASE]=NOTAS_80[[#This Row],[DATA BASE]]), N(['[D/N']] = "D"),    [LUCRO P/ OP]), 0)</f>
        <v>0</v>
      </c>
      <c r="AK36" s="110">
        <f>IF([U] = "U", SUMPRODUCT(N([DATA BASE]=NOTAS_80[[#This Row],[DATA BASE]]), N(['[D/N']] = "D"),    [IRRF FONTE]), 0)</f>
        <v>0</v>
      </c>
    </row>
    <row r="37" spans="1:37">
      <c r="A37" s="120">
        <v>36</v>
      </c>
      <c r="B37" s="120" t="s">
        <v>49</v>
      </c>
      <c r="C37" s="113" t="s">
        <v>166</v>
      </c>
      <c r="D37" s="120" t="s">
        <v>25</v>
      </c>
      <c r="E37" s="121">
        <v>41172</v>
      </c>
      <c r="F37" s="120">
        <v>600</v>
      </c>
      <c r="G37" s="122">
        <v>1.45</v>
      </c>
      <c r="H37" s="134"/>
      <c r="I37" s="135">
        <v>-0.36</v>
      </c>
      <c r="J37" s="120" t="s">
        <v>14</v>
      </c>
      <c r="K37" s="121">
        <f>WORKDAY(NOTAS_80[[#This Row],[DATA]],1,0)</f>
        <v>41173</v>
      </c>
      <c r="L37" s="123">
        <f>EOMONTH(NOTAS_80[[#This Row],[DATA DE LIQUIDAÇÃO]],0)</f>
        <v>41182</v>
      </c>
      <c r="M3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22">
        <f>[QTDE]*[PREÇO]</f>
        <v>870</v>
      </c>
      <c r="O3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22">
        <f>TRUNC([CORR BOV] * 20% * IF([PARCIAL] &gt; 0, [QTDE] / [PARCIAL], 1),2)</f>
        <v>3.1</v>
      </c>
      <c r="U37" s="122">
        <f>SUMPRODUCT(N([DATA]=NOTAS_80[[#This Row],[DATA]]),N([ID]&lt;=NOTAS_80[[#This Row],[ID]]), [CORR])</f>
        <v>5.63</v>
      </c>
      <c r="V37" s="122">
        <f>TRUNC([CORRETAGEM]*SETUP!$F$3,2)</f>
        <v>0.11</v>
      </c>
      <c r="W37" s="122">
        <f>ROUND([CORRETAGEM]*SETUP!$G$3,2)</f>
        <v>0.22</v>
      </c>
      <c r="X37" s="122">
        <f>[VALOR LÍQUIDO DAS OPERAÇÕES]-[TAXA DE LIQUIDAÇÃO]-[EMOLUMENTOS]-[TAXA DE REGISTRO]-[CORRETAGEM]-[ISS]-IF(['[D/N']]="D",    0,    [OUTRAS BOVESPA]) - [AJUSTE]</f>
        <v>185.94000000000011</v>
      </c>
      <c r="Y37" s="122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184.09000000000012</v>
      </c>
      <c r="AA37" s="124">
        <f>[LÍQUIDO]-SUMPRODUCT(N([DATA]=NOTAS_80[[#This Row],[DATA]]),N([ID]=(NOTAS_80[[#This Row],[ID]]-1)),[LÍQUIDO])</f>
        <v>866.82</v>
      </c>
      <c r="AB37" s="122">
        <f>IF([T] = "VC", ABS([VALOR OP]) / [QTDE], [VALOR OP]/[QTDE])</f>
        <v>1.4447000000000001</v>
      </c>
      <c r="AC37" s="122">
        <f>TRUNC(IF(OR([T]="CV",[T]="VV"),     N37*SETUP!$H$3,     0),2)</f>
        <v>0.04</v>
      </c>
      <c r="AD3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1.1378833333333331</v>
      </c>
      <c r="AF3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185.94000000000017</v>
      </c>
      <c r="AH37" s="122">
        <f>IF([LUCRO TMP] &lt;&gt; 0, [LUCRO TMP] - SUMPRODUCT(N([ATIVO]=NOTAS_80[[#This Row],[ATIVO]]),N(['[D/N']]="N"),N([ID]&lt;NOTAS_80[[#This Row],[ID]]),N([PAR]=NOTAS_80[[#This Row],[PAR]]), [LUCRO TMP]), 0)</f>
        <v>185.94000000000017</v>
      </c>
      <c r="AI37" s="122">
        <f>IF([U] = "U", SUMPRODUCT(N([ID]&lt;=NOTAS_80[[#This Row],[ID]]),N([DATA BASE]=NOTAS_80[[#This Row],[DATA BASE]]), N(['[D/N']] = "N"),    [LUCRO P/ OP]), 0)</f>
        <v>656.4100000000002</v>
      </c>
      <c r="AJ37" s="122">
        <f>IF([U] = "U", SUMPRODUCT(N([DATA BASE]=NOTAS_80[[#This Row],[DATA BASE]]), N(['[D/N']] = "D"),    [LUCRO P/ OP]), 0)</f>
        <v>822.64000000000021</v>
      </c>
      <c r="AK37" s="122">
        <f>IF([U] = "U", SUMPRODUCT(N([DATA BASE]=NOTAS_80[[#This Row],[DATA BASE]]), N(['[D/N']] = "D"),    [IRRF FONTE]), 0)</f>
        <v>15.209999999999999</v>
      </c>
    </row>
    <row r="38" spans="1:37">
      <c r="A38" s="108">
        <f>SUBTOTAL(104,[ID])</f>
        <v>36</v>
      </c>
      <c r="B38" s="108"/>
      <c r="C38" s="108"/>
      <c r="D38" s="108"/>
      <c r="E38" s="108"/>
      <c r="F38" s="108"/>
      <c r="G38" s="108"/>
      <c r="H38" s="109"/>
      <c r="I38" s="110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10"/>
      <c r="Y38" s="108"/>
      <c r="Z38" s="110"/>
      <c r="AA38" s="110"/>
      <c r="AB38" s="108"/>
      <c r="AC38" s="110">
        <f>SUBTOTAL(109,[IRRF])</f>
        <v>0.46999999999999992</v>
      </c>
      <c r="AD38" s="110"/>
      <c r="AE38" s="108"/>
      <c r="AF38" s="108"/>
      <c r="AG38" s="110"/>
      <c r="AH38" s="110">
        <f>SUBTOTAL(109,[LUCRO P/ OP])</f>
        <v>1418.7600000000002</v>
      </c>
      <c r="AI38" s="110"/>
      <c r="AJ38" s="111"/>
      <c r="AK38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490</v>
      </c>
      <c r="C2" s="25">
        <v>21.83</v>
      </c>
      <c r="D2" s="25">
        <v>0.1</v>
      </c>
      <c r="E2" s="39">
        <v>21.38</v>
      </c>
      <c r="F2" s="28">
        <f>ROUNDDOWN([APLICAÇÃO]/[PREÇO OPÇÃO], 0)</f>
        <v>4900</v>
      </c>
      <c r="G2" s="28">
        <f>[QTDE TMP] - MOD([QTDE TMP], 100)</f>
        <v>4900</v>
      </c>
      <c r="H2" s="25">
        <f>[EXERCÍCIO] + ([PREÇO OPÇÃO] * 2)</f>
        <v>22.029999999999998</v>
      </c>
      <c r="I2" s="27">
        <f>[TARGET 100%] / [PREÇO AÇÃO] - 1</f>
        <v>3.0402245088868129E-2</v>
      </c>
      <c r="J2" s="25">
        <f>[PREÇO OPÇÃO] * [QTDE]</f>
        <v>490</v>
      </c>
      <c r="K2" s="25">
        <f>IF([PREÇO AÇÃO] &gt; [EXERCÍCIO], [PREÇO OPÇÃO] -([PREÇO AÇÃO] - [EXERCÍCIO]), [PREÇO OPÇÃO])</f>
        <v>0.1</v>
      </c>
    </row>
    <row r="3" spans="1:11">
      <c r="A3" s="7" t="s">
        <v>131</v>
      </c>
      <c r="B3" s="25">
        <v>490</v>
      </c>
      <c r="C3" s="25">
        <v>35</v>
      </c>
      <c r="D3" s="25">
        <v>0.77</v>
      </c>
      <c r="E3" s="39">
        <v>35.64</v>
      </c>
      <c r="F3" s="28">
        <f>ROUNDDOWN([APLICAÇÃO]/[PREÇO OPÇÃO], 0)</f>
        <v>636</v>
      </c>
      <c r="G3" s="28">
        <f>[QTDE TMP] - MOD([QTDE TMP], 100)</f>
        <v>600</v>
      </c>
      <c r="H3" s="25">
        <f>[EXERCÍCIO] + ([PREÇO OPÇÃO] * 2)</f>
        <v>36.54</v>
      </c>
      <c r="I3" s="27">
        <f>[TARGET 100%] / [PREÇO AÇÃO] - 1</f>
        <v>2.5252525252525304E-2</v>
      </c>
      <c r="J3" s="25">
        <f>[PREÇO OPÇÃO] * [QTDE]</f>
        <v>462</v>
      </c>
      <c r="K3" s="25">
        <f>IF([PREÇO AÇÃO] &gt; [EXERCÍCIO], [PREÇO OPÇÃO] -([PREÇO AÇÃO] - [EXERCÍCIO]), [PREÇO OPÇÃO])</f>
        <v>0.12999999999999945</v>
      </c>
    </row>
    <row r="4" spans="1:11">
      <c r="A4" s="7" t="s">
        <v>133</v>
      </c>
      <c r="B4" s="25">
        <v>490</v>
      </c>
      <c r="C4" s="25">
        <v>35.090000000000003</v>
      </c>
      <c r="D4" s="25">
        <v>0.78</v>
      </c>
      <c r="E4" s="39">
        <v>35.64</v>
      </c>
      <c r="F4" s="28">
        <f>ROUNDDOWN([APLICAÇÃO]/[PREÇO OPÇÃO], 0)</f>
        <v>628</v>
      </c>
      <c r="G4" s="28">
        <f>[QTDE TMP] - MOD([QTDE TMP], 100)</f>
        <v>600</v>
      </c>
      <c r="H4" s="25">
        <f>[EXERCÍCIO] + ([PREÇO OPÇÃO] * 2)</f>
        <v>36.650000000000006</v>
      </c>
      <c r="I4" s="27">
        <f>[TARGET 100%] / [PREÇO AÇÃO] - 1</f>
        <v>2.8338945005611738E-2</v>
      </c>
      <c r="J4" s="25">
        <f>[PREÇO OPÇÃO] * [QTDE]</f>
        <v>468</v>
      </c>
      <c r="K4" s="25">
        <f>IF([PREÇO AÇÃO] &gt; [EXERCÍCIO], [PREÇO OPÇÃO] -([PREÇO AÇÃO] - [EXERCÍCIO]), [PREÇO OPÇÃO])</f>
        <v>0.23000000000000287</v>
      </c>
    </row>
    <row r="5" spans="1:11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5" sqref="B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100</v>
      </c>
      <c r="C3" s="25">
        <v>37.96</v>
      </c>
      <c r="D3" s="25">
        <v>36</v>
      </c>
      <c r="E3" s="25">
        <v>2.46</v>
      </c>
      <c r="F3" s="25">
        <v>37.090000000000003</v>
      </c>
      <c r="G3" s="25">
        <v>1.66</v>
      </c>
      <c r="H3" s="25">
        <f>([QTDE] * [PREÇO COMPRA]) + ([QTDE] * [PREÇO VENDA])</f>
        <v>1236</v>
      </c>
      <c r="I3" s="25">
        <f>[PREÇO VENDA]-[PREÇO COMPRA]</f>
        <v>0.8</v>
      </c>
      <c r="J3" s="25">
        <f>(0.01 - [PREÇO COMPRA]) + ([PREÇO VENDA] - ([EXERC. COMPRA]-[EXERC. VENDA]+0.01))</f>
        <v>-0.29000000000000337</v>
      </c>
      <c r="K3" s="28">
        <f>ROUNDDOWN([RISCO]/ABS([PERDA P/ OPÇÃO]), 0)</f>
        <v>344</v>
      </c>
      <c r="L3" s="28">
        <f>[QTDE TMP] - MOD([QTDE TMP], 100)</f>
        <v>300</v>
      </c>
      <c r="M3" s="25">
        <f>([QTDE]*[LUCRO P/ OPÇÃO])</f>
        <v>240</v>
      </c>
      <c r="N3" s="25">
        <f>[QTDE]*[PERDA P/ OPÇÃO]</f>
        <v>-87.000000000001009</v>
      </c>
      <c r="O3" s="27">
        <f>[EXERC. VENDA]/[PREÇO AÇÃO]-1</f>
        <v>-5.163329820864071E-2</v>
      </c>
      <c r="P3" s="38">
        <f>[LUCRO*]/ABS([PERDA*])</f>
        <v>2.7586206896551406</v>
      </c>
    </row>
    <row r="4" spans="1:16">
      <c r="A4" s="105" t="s">
        <v>69</v>
      </c>
      <c r="B4" s="25">
        <v>200</v>
      </c>
      <c r="C4" s="25">
        <v>22.8</v>
      </c>
      <c r="D4" s="25">
        <v>21.83</v>
      </c>
      <c r="E4" s="25">
        <v>1.34</v>
      </c>
      <c r="F4" s="25">
        <v>23</v>
      </c>
      <c r="G4" s="25">
        <v>0.6</v>
      </c>
      <c r="H4" s="81">
        <f>([QTDE] * [PREÇO COMPRA]) + ([QTDE] * [PREÇO VENDA])</f>
        <v>776</v>
      </c>
      <c r="I4" s="81">
        <f>[PREÇO VENDA]-[PREÇO COMPRA]</f>
        <v>0.7400000000000001</v>
      </c>
      <c r="J4" s="81">
        <f>(0.01 - [PREÇO COMPRA]) + ([PREÇO VENDA] - ([EXERC. COMPRA]-[EXERC. VENDA]+0.01))</f>
        <v>-0.4300000000000016</v>
      </c>
      <c r="K4" s="106">
        <f>ROUNDDOWN([RISCO]/ABS([PERDA P/ OPÇÃO]), 0)</f>
        <v>465</v>
      </c>
      <c r="L4" s="106">
        <f>[QTDE TMP] - MOD([QTDE TMP], 100)</f>
        <v>400</v>
      </c>
      <c r="M4" s="81">
        <f>([QTDE]*[LUCRO P/ OPÇÃO])</f>
        <v>296.00000000000006</v>
      </c>
      <c r="N4" s="81">
        <f>[QTDE]*[PERDA P/ OPÇÃO]</f>
        <v>-172.00000000000065</v>
      </c>
      <c r="O4" s="82">
        <f>[EXERC. VENDA]/[PREÇO AÇÃO]-1</f>
        <v>-4.2543859649122884E-2</v>
      </c>
      <c r="P4" s="83">
        <f>[LUCRO*]/ABS([PERDA*])</f>
        <v>1.7209302325581333</v>
      </c>
    </row>
    <row r="5" spans="1:16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1"/>
      <c r="P5" s="13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8" t="s">
        <v>7</v>
      </c>
      <c r="B1" s="138"/>
      <c r="C1" s="138" t="s">
        <v>8</v>
      </c>
      <c r="D1" s="138"/>
      <c r="E1" s="137" t="s">
        <v>9</v>
      </c>
      <c r="F1" s="137" t="s">
        <v>4</v>
      </c>
      <c r="G1" s="137" t="s">
        <v>10</v>
      </c>
      <c r="H1" s="137" t="s">
        <v>11</v>
      </c>
      <c r="I1" s="137" t="s">
        <v>23</v>
      </c>
      <c r="K1" s="136" t="s">
        <v>149</v>
      </c>
      <c r="L1" s="136"/>
      <c r="M1" s="136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7"/>
      <c r="F2" s="137"/>
      <c r="G2" s="137"/>
      <c r="H2" s="137"/>
      <c r="I2" s="137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6" t="s">
        <v>26</v>
      </c>
      <c r="B4" s="136"/>
      <c r="C4" s="136"/>
      <c r="D4" s="136"/>
      <c r="E4" s="136"/>
      <c r="F4" s="136"/>
      <c r="K4" s="17">
        <v>498.62</v>
      </c>
      <c r="L4" s="17">
        <v>0</v>
      </c>
      <c r="M4" s="107">
        <v>0.02</v>
      </c>
    </row>
    <row r="5" spans="1:13">
      <c r="A5" s="136" t="s">
        <v>7</v>
      </c>
      <c r="B5" s="136"/>
      <c r="C5" s="136"/>
      <c r="D5" s="136" t="s">
        <v>8</v>
      </c>
      <c r="E5" s="136"/>
      <c r="F5" s="136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2012-09-20T20:19:38Z</dcterms:modified>
</cp:coreProperties>
</file>