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 activeTab="1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G23" i="3"/>
  <c r="G24"/>
  <c r="G25"/>
  <c r="G26"/>
  <c r="G27"/>
  <c r="G28"/>
  <c r="G29"/>
  <c r="G30"/>
  <c r="H23"/>
  <c r="H24"/>
  <c r="H25"/>
  <c r="H26"/>
  <c r="H27"/>
  <c r="H28"/>
  <c r="H29"/>
  <c r="H30"/>
  <c r="M23"/>
  <c r="M24"/>
  <c r="M25"/>
  <c r="M26"/>
  <c r="M27"/>
  <c r="M28"/>
  <c r="M29"/>
  <c r="M30"/>
  <c r="N23"/>
  <c r="N24"/>
  <c r="N25"/>
  <c r="N26"/>
  <c r="N27"/>
  <c r="N28"/>
  <c r="N29"/>
  <c r="N30"/>
  <c r="S23"/>
  <c r="S24"/>
  <c r="S25"/>
  <c r="S26"/>
  <c r="S27"/>
  <c r="S28"/>
  <c r="S29"/>
  <c r="S30"/>
  <c r="T23"/>
  <c r="T24"/>
  <c r="T25"/>
  <c r="T26"/>
  <c r="T27"/>
  <c r="T28"/>
  <c r="T29"/>
  <c r="T30"/>
  <c r="Y23"/>
  <c r="Y24"/>
  <c r="Y25"/>
  <c r="Y26"/>
  <c r="Y27"/>
  <c r="Y28"/>
  <c r="Y29"/>
  <c r="Y30"/>
  <c r="Z23"/>
  <c r="Z24"/>
  <c r="Z25"/>
  <c r="Z26"/>
  <c r="Z27"/>
  <c r="Z28"/>
  <c r="Z29"/>
  <c r="Z30"/>
  <c r="AA23"/>
  <c r="I23" s="1"/>
  <c r="AA24"/>
  <c r="AA25"/>
  <c r="AA26"/>
  <c r="AA27"/>
  <c r="AA28"/>
  <c r="AA29"/>
  <c r="AA30"/>
  <c r="AB23"/>
  <c r="AB24"/>
  <c r="AB25"/>
  <c r="AB26"/>
  <c r="AB27"/>
  <c r="AB28"/>
  <c r="AB29"/>
  <c r="AB30"/>
  <c r="J23" l="1"/>
  <c r="K23"/>
  <c r="L23"/>
  <c r="P23"/>
  <c r="Q23"/>
  <c r="R23"/>
  <c r="W23"/>
  <c r="X23" s="1"/>
  <c r="AC23"/>
  <c r="I30"/>
  <c r="I29"/>
  <c r="I28"/>
  <c r="I27"/>
  <c r="I26"/>
  <c r="I25"/>
  <c r="I24"/>
  <c r="J24" l="1"/>
  <c r="K24"/>
  <c r="L24"/>
  <c r="P24"/>
  <c r="Q24"/>
  <c r="R24"/>
  <c r="W24"/>
  <c r="X24" s="1"/>
  <c r="AC24"/>
  <c r="J25"/>
  <c r="K25"/>
  <c r="L25"/>
  <c r="P25"/>
  <c r="Q25"/>
  <c r="R25"/>
  <c r="W25"/>
  <c r="X25" s="1"/>
  <c r="AC25"/>
  <c r="J26"/>
  <c r="K26"/>
  <c r="L26"/>
  <c r="P26"/>
  <c r="Q26"/>
  <c r="R26"/>
  <c r="W26"/>
  <c r="X26" s="1"/>
  <c r="AC26"/>
  <c r="J27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9"/>
  <c r="K29"/>
  <c r="L29"/>
  <c r="P29"/>
  <c r="Q29"/>
  <c r="R29"/>
  <c r="W29"/>
  <c r="X29" s="1"/>
  <c r="AC29"/>
  <c r="J30"/>
  <c r="K30"/>
  <c r="L30"/>
  <c r="P30"/>
  <c r="Q30"/>
  <c r="R30"/>
  <c r="W30"/>
  <c r="X30" s="1"/>
  <c r="AC30"/>
  <c r="U23"/>
  <c r="O23"/>
  <c r="V23" l="1"/>
  <c r="U30"/>
  <c r="O30"/>
  <c r="U29"/>
  <c r="O29"/>
  <c r="U28"/>
  <c r="O28"/>
  <c r="U27"/>
  <c r="O27"/>
  <c r="U26"/>
  <c r="O26"/>
  <c r="U25"/>
  <c r="O25"/>
  <c r="U24"/>
  <c r="O24"/>
  <c r="V24" l="1"/>
  <c r="V25"/>
  <c r="V26"/>
  <c r="V27"/>
  <c r="V28"/>
  <c r="V29"/>
  <c r="V30"/>
  <c r="H30" i="1" l="1"/>
  <c r="M30"/>
  <c r="N30"/>
  <c r="S30"/>
  <c r="T30"/>
  <c r="Y30"/>
  <c r="Z30"/>
  <c r="AA30"/>
  <c r="I30" s="1"/>
  <c r="AB30"/>
  <c r="AD30"/>
  <c r="M29"/>
  <c r="N29"/>
  <c r="S29"/>
  <c r="T29"/>
  <c r="Y29"/>
  <c r="Z29"/>
  <c r="AA29"/>
  <c r="AB29"/>
  <c r="AD29"/>
  <c r="G12"/>
  <c r="G11"/>
  <c r="G10"/>
  <c r="G9"/>
  <c r="J30" l="1"/>
  <c r="K30"/>
  <c r="L30"/>
  <c r="P30"/>
  <c r="Q30"/>
  <c r="R30"/>
  <c r="W30"/>
  <c r="X30" s="1"/>
  <c r="AC30"/>
  <c r="M23"/>
  <c r="M24"/>
  <c r="M25"/>
  <c r="M26"/>
  <c r="M27"/>
  <c r="M28"/>
  <c r="N23"/>
  <c r="N24"/>
  <c r="N25"/>
  <c r="N26"/>
  <c r="N27"/>
  <c r="N28"/>
  <c r="S23"/>
  <c r="S24"/>
  <c r="S25"/>
  <c r="S26"/>
  <c r="S27"/>
  <c r="S28"/>
  <c r="T23"/>
  <c r="T24"/>
  <c r="T25"/>
  <c r="T26"/>
  <c r="T27"/>
  <c r="T28"/>
  <c r="Y23"/>
  <c r="Y24"/>
  <c r="Y25"/>
  <c r="Y26"/>
  <c r="Y27"/>
  <c r="Y28"/>
  <c r="Z23"/>
  <c r="Z24"/>
  <c r="Z25"/>
  <c r="Z26"/>
  <c r="Z27"/>
  <c r="Z28"/>
  <c r="AA23"/>
  <c r="AA24"/>
  <c r="AA25"/>
  <c r="AA26"/>
  <c r="AA27"/>
  <c r="AA28"/>
  <c r="AB23"/>
  <c r="AB24"/>
  <c r="AB25"/>
  <c r="AB26"/>
  <c r="AB27"/>
  <c r="AB28"/>
  <c r="AD23"/>
  <c r="AD24"/>
  <c r="AD25"/>
  <c r="AD26"/>
  <c r="AD27"/>
  <c r="AD28"/>
  <c r="A17" i="5"/>
  <c r="D17"/>
  <c r="A18"/>
  <c r="D18"/>
  <c r="A19"/>
  <c r="D19"/>
  <c r="A20"/>
  <c r="D20"/>
  <c r="A21"/>
  <c r="D21"/>
  <c r="A22"/>
  <c r="D22"/>
  <c r="G17" i="3"/>
  <c r="G18"/>
  <c r="G19"/>
  <c r="G20"/>
  <c r="G21"/>
  <c r="G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AA18"/>
  <c r="AA19"/>
  <c r="AA20"/>
  <c r="AA21"/>
  <c r="AA22"/>
  <c r="AB17"/>
  <c r="AB18"/>
  <c r="AB19"/>
  <c r="AB20"/>
  <c r="AB21"/>
  <c r="AB22"/>
  <c r="G17" i="4"/>
  <c r="G18"/>
  <c r="G19"/>
  <c r="G20"/>
  <c r="G21"/>
  <c r="G22"/>
  <c r="H17"/>
  <c r="H18"/>
  <c r="H19"/>
  <c r="H20"/>
  <c r="H21"/>
  <c r="H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I17" s="1"/>
  <c r="AA18"/>
  <c r="AA19"/>
  <c r="AA20"/>
  <c r="AA21"/>
  <c r="AA22"/>
  <c r="AB17"/>
  <c r="AB18"/>
  <c r="AB19"/>
  <c r="AB20"/>
  <c r="AB21"/>
  <c r="AB22"/>
  <c r="M17" i="1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B17" i="5" s="1"/>
  <c r="E17" s="1"/>
  <c r="Z18" i="1"/>
  <c r="B18" i="5" s="1"/>
  <c r="E18" s="1"/>
  <c r="Z19" i="1"/>
  <c r="B19" i="5" s="1"/>
  <c r="E19" s="1"/>
  <c r="Z20" i="1"/>
  <c r="B20" i="5" s="1"/>
  <c r="E20" s="1"/>
  <c r="Z21" i="1"/>
  <c r="B21" i="5" s="1"/>
  <c r="E21" s="1"/>
  <c r="Z22" i="1"/>
  <c r="B22" i="5" s="1"/>
  <c r="E22" s="1"/>
  <c r="AA17" i="1"/>
  <c r="AA18"/>
  <c r="AA19"/>
  <c r="AA20"/>
  <c r="AA21"/>
  <c r="AA22"/>
  <c r="AB17"/>
  <c r="F17" i="5" s="1"/>
  <c r="AB18" i="1"/>
  <c r="F18" i="5" s="1"/>
  <c r="AB19" i="1"/>
  <c r="F19" i="5" s="1"/>
  <c r="AB20" i="1"/>
  <c r="F20" i="5" s="1"/>
  <c r="AB21" i="1"/>
  <c r="F21" i="5" s="1"/>
  <c r="AB22" i="1"/>
  <c r="F22" i="5" s="1"/>
  <c r="AD17" i="1"/>
  <c r="AD18"/>
  <c r="AD19"/>
  <c r="AD20"/>
  <c r="AD21"/>
  <c r="AD22"/>
  <c r="A11" i="5"/>
  <c r="D11"/>
  <c r="A12"/>
  <c r="D12"/>
  <c r="A13"/>
  <c r="D13"/>
  <c r="A14"/>
  <c r="D14"/>
  <c r="A15"/>
  <c r="D15"/>
  <c r="A16"/>
  <c r="D16"/>
  <c r="G11" i="3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AB11"/>
  <c r="AB12"/>
  <c r="AB13"/>
  <c r="AB14"/>
  <c r="AB15"/>
  <c r="AB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AB11"/>
  <c r="AB12"/>
  <c r="AB13"/>
  <c r="AB14"/>
  <c r="AB15"/>
  <c r="AB16"/>
  <c r="M11" i="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B11" i="5" s="1"/>
  <c r="E11" s="1"/>
  <c r="Z12" i="1"/>
  <c r="B12" i="5" s="1"/>
  <c r="E12" s="1"/>
  <c r="Z13" i="1"/>
  <c r="B13" i="5" s="1"/>
  <c r="E13" s="1"/>
  <c r="Z14" i="1"/>
  <c r="B14" i="5" s="1"/>
  <c r="E14" s="1"/>
  <c r="Z15" i="1"/>
  <c r="B15" i="5" s="1"/>
  <c r="E15" s="1"/>
  <c r="Z16" i="1"/>
  <c r="B16" i="5" s="1"/>
  <c r="E16" s="1"/>
  <c r="AA11" i="1"/>
  <c r="AA12"/>
  <c r="AA13"/>
  <c r="AA14"/>
  <c r="AA15"/>
  <c r="AA16"/>
  <c r="AB11"/>
  <c r="F11" i="5" s="1"/>
  <c r="AB12" i="1"/>
  <c r="F12" i="5" s="1"/>
  <c r="AB13" i="1"/>
  <c r="F13" i="5" s="1"/>
  <c r="AB14" i="1"/>
  <c r="F14" i="5" s="1"/>
  <c r="AB15" i="1"/>
  <c r="F15" i="5" s="1"/>
  <c r="AB16" i="1"/>
  <c r="F16" i="5" s="1"/>
  <c r="AD11" i="1"/>
  <c r="AD12"/>
  <c r="AD13"/>
  <c r="AD14"/>
  <c r="AD15"/>
  <c r="AD16"/>
  <c r="A6" i="5"/>
  <c r="D6"/>
  <c r="A7"/>
  <c r="D7"/>
  <c r="A8"/>
  <c r="D8"/>
  <c r="A9"/>
  <c r="D9"/>
  <c r="A10"/>
  <c r="D10"/>
  <c r="G10" i="4"/>
  <c r="M10"/>
  <c r="N10"/>
  <c r="S10"/>
  <c r="T10"/>
  <c r="Y10"/>
  <c r="Z10"/>
  <c r="AA10"/>
  <c r="AB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Y5"/>
  <c r="Y6"/>
  <c r="Y7"/>
  <c r="Y8"/>
  <c r="Y9"/>
  <c r="Z5"/>
  <c r="Z6"/>
  <c r="Z7"/>
  <c r="Z8"/>
  <c r="Z9"/>
  <c r="AA5"/>
  <c r="AA6"/>
  <c r="AA7"/>
  <c r="AA8"/>
  <c r="AA9"/>
  <c r="AB5"/>
  <c r="AB6"/>
  <c r="AB7"/>
  <c r="AB8"/>
  <c r="AB9"/>
  <c r="A5" i="5"/>
  <c r="D5"/>
  <c r="G10" i="3"/>
  <c r="M10"/>
  <c r="N10"/>
  <c r="S10"/>
  <c r="T10"/>
  <c r="Y10"/>
  <c r="Z10"/>
  <c r="AA10"/>
  <c r="AB10"/>
  <c r="G6"/>
  <c r="G7"/>
  <c r="G8"/>
  <c r="G9"/>
  <c r="M6"/>
  <c r="M7"/>
  <c r="M8"/>
  <c r="M9"/>
  <c r="N6"/>
  <c r="N7"/>
  <c r="N8"/>
  <c r="N9"/>
  <c r="S6"/>
  <c r="S7"/>
  <c r="S8"/>
  <c r="S9"/>
  <c r="T6"/>
  <c r="T7"/>
  <c r="T8"/>
  <c r="T9"/>
  <c r="Y6"/>
  <c r="Y7"/>
  <c r="Y8"/>
  <c r="Y9"/>
  <c r="Z6"/>
  <c r="Z7"/>
  <c r="Z8"/>
  <c r="Z9"/>
  <c r="AA6"/>
  <c r="AA7"/>
  <c r="AA8"/>
  <c r="AA9"/>
  <c r="AB6"/>
  <c r="AB7"/>
  <c r="AB8"/>
  <c r="AB9"/>
  <c r="G5"/>
  <c r="M5"/>
  <c r="N5"/>
  <c r="S5"/>
  <c r="T5"/>
  <c r="Y5"/>
  <c r="Z5"/>
  <c r="AA5"/>
  <c r="AB5"/>
  <c r="U30" i="1" l="1"/>
  <c r="O30"/>
  <c r="J17" i="4"/>
  <c r="K17"/>
  <c r="L17"/>
  <c r="P17"/>
  <c r="Q17"/>
  <c r="R17"/>
  <c r="W17"/>
  <c r="X17" s="1"/>
  <c r="AC17"/>
  <c r="I22"/>
  <c r="I21"/>
  <c r="I20"/>
  <c r="I19"/>
  <c r="I18"/>
  <c r="D4" i="5"/>
  <c r="G4" i="4"/>
  <c r="M4"/>
  <c r="N4"/>
  <c r="S4"/>
  <c r="T4"/>
  <c r="Y4"/>
  <c r="Z4"/>
  <c r="AA4"/>
  <c r="AB4"/>
  <c r="A4" i="5"/>
  <c r="D3"/>
  <c r="D2"/>
  <c r="AD2" i="1"/>
  <c r="G4" i="3"/>
  <c r="H4"/>
  <c r="M4"/>
  <c r="N4"/>
  <c r="S4"/>
  <c r="T4"/>
  <c r="Y4"/>
  <c r="Z4"/>
  <c r="AA4"/>
  <c r="AB4"/>
  <c r="A3" i="5"/>
  <c r="A2"/>
  <c r="H17" i="3" l="1"/>
  <c r="H18"/>
  <c r="H19"/>
  <c r="H20"/>
  <c r="H21"/>
  <c r="H22"/>
  <c r="V30" i="1"/>
  <c r="H10" i="3"/>
  <c r="H11"/>
  <c r="H12"/>
  <c r="H13"/>
  <c r="H14"/>
  <c r="H15"/>
  <c r="H16"/>
  <c r="J18" i="4"/>
  <c r="K18"/>
  <c r="L18"/>
  <c r="P18"/>
  <c r="Q18"/>
  <c r="R18"/>
  <c r="W18"/>
  <c r="X18" s="1"/>
  <c r="AC18"/>
  <c r="J19"/>
  <c r="K19"/>
  <c r="L19"/>
  <c r="P19"/>
  <c r="Q19"/>
  <c r="R19"/>
  <c r="W19"/>
  <c r="X19" s="1"/>
  <c r="AC19"/>
  <c r="J20"/>
  <c r="K20"/>
  <c r="L20"/>
  <c r="P20"/>
  <c r="Q20"/>
  <c r="R20"/>
  <c r="W20"/>
  <c r="X20" s="1"/>
  <c r="AC20"/>
  <c r="J21"/>
  <c r="K21"/>
  <c r="L21"/>
  <c r="P21"/>
  <c r="Q21"/>
  <c r="R21"/>
  <c r="W21"/>
  <c r="X21" s="1"/>
  <c r="AC21"/>
  <c r="J22"/>
  <c r="K22"/>
  <c r="L22"/>
  <c r="P22"/>
  <c r="Q22"/>
  <c r="R22"/>
  <c r="W22"/>
  <c r="X22" s="1"/>
  <c r="AC22"/>
  <c r="U17"/>
  <c r="O17"/>
  <c r="H5" i="3"/>
  <c r="H6"/>
  <c r="H7"/>
  <c r="H8"/>
  <c r="H9"/>
  <c r="V17" i="4" l="1"/>
  <c r="U22"/>
  <c r="O22"/>
  <c r="U21"/>
  <c r="O21"/>
  <c r="U20"/>
  <c r="O20"/>
  <c r="U19"/>
  <c r="O19"/>
  <c r="U18"/>
  <c r="O18"/>
  <c r="V18" l="1"/>
  <c r="V19"/>
  <c r="V20"/>
  <c r="V21"/>
  <c r="V22"/>
  <c r="Y2"/>
  <c r="Y3"/>
  <c r="Y2" i="3"/>
  <c r="Y3"/>
  <c r="Y10" i="1"/>
  <c r="Y9"/>
  <c r="Y8"/>
  <c r="Y7"/>
  <c r="Y6"/>
  <c r="Y5"/>
  <c r="Y4"/>
  <c r="Y3"/>
  <c r="Y2"/>
  <c r="G2" l="1"/>
  <c r="M3" i="4" l="1"/>
  <c r="N3"/>
  <c r="S3"/>
  <c r="T3"/>
  <c r="Z3"/>
  <c r="G2"/>
  <c r="H10" l="1"/>
  <c r="H11"/>
  <c r="H12"/>
  <c r="H13"/>
  <c r="H14"/>
  <c r="H15"/>
  <c r="H16"/>
  <c r="H4"/>
  <c r="H5"/>
  <c r="H6"/>
  <c r="H7"/>
  <c r="H8"/>
  <c r="H9"/>
  <c r="H3"/>
  <c r="AA3"/>
  <c r="AB3"/>
  <c r="M10" i="1"/>
  <c r="N10"/>
  <c r="S10"/>
  <c r="T10"/>
  <c r="Z10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B5" i="5" s="1"/>
  <c r="E5" s="1"/>
  <c r="M4" i="1"/>
  <c r="N4"/>
  <c r="S4"/>
  <c r="T4"/>
  <c r="Z4"/>
  <c r="B4" i="5" s="1"/>
  <c r="G3" i="1"/>
  <c r="H29" s="1"/>
  <c r="H3" i="3"/>
  <c r="Z2" i="4"/>
  <c r="T2"/>
  <c r="S2"/>
  <c r="N2"/>
  <c r="M2"/>
  <c r="H2"/>
  <c r="Z3" i="3"/>
  <c r="AB3" s="1"/>
  <c r="T3"/>
  <c r="S3"/>
  <c r="N3"/>
  <c r="M3"/>
  <c r="Z2"/>
  <c r="T2"/>
  <c r="S2"/>
  <c r="N2"/>
  <c r="M2"/>
  <c r="H23" i="1" l="1"/>
  <c r="H24"/>
  <c r="H25"/>
  <c r="H26"/>
  <c r="H27"/>
  <c r="H28"/>
  <c r="H17"/>
  <c r="H18"/>
  <c r="H19"/>
  <c r="H20"/>
  <c r="H21"/>
  <c r="H22"/>
  <c r="H11"/>
  <c r="H12"/>
  <c r="H13"/>
  <c r="H14"/>
  <c r="H15"/>
  <c r="H16"/>
  <c r="AD9"/>
  <c r="B9" i="5"/>
  <c r="E9" s="1"/>
  <c r="AD8" i="1"/>
  <c r="B8" i="5"/>
  <c r="E8" s="1"/>
  <c r="AD7" i="1"/>
  <c r="B7" i="5"/>
  <c r="E7" s="1"/>
  <c r="AD6" i="1"/>
  <c r="B6" i="5"/>
  <c r="E6" s="1"/>
  <c r="AD10" i="1"/>
  <c r="B10" i="5"/>
  <c r="E10" s="1"/>
  <c r="AA5" i="1"/>
  <c r="AD5"/>
  <c r="AD4"/>
  <c r="E4" i="5"/>
  <c r="G31" i="1"/>
  <c r="H2"/>
  <c r="AB10"/>
  <c r="F10" i="5" s="1"/>
  <c r="AA10" i="1"/>
  <c r="AB9"/>
  <c r="F9" i="5" s="1"/>
  <c r="AA9" i="1"/>
  <c r="AA8"/>
  <c r="AB8"/>
  <c r="F8" i="5" s="1"/>
  <c r="AB7" i="1"/>
  <c r="F7" i="5" s="1"/>
  <c r="AA7" i="1"/>
  <c r="AB6"/>
  <c r="F6" i="5" s="1"/>
  <c r="AA6" i="1"/>
  <c r="AB4"/>
  <c r="F4" i="5" s="1"/>
  <c r="AA4" i="1"/>
  <c r="AB5"/>
  <c r="F5" i="5" s="1"/>
  <c r="H2" i="3"/>
  <c r="AA2" i="4"/>
  <c r="I16" s="1"/>
  <c r="AB2"/>
  <c r="AB2" i="3"/>
  <c r="AA2"/>
  <c r="AA3"/>
  <c r="I22" l="1"/>
  <c r="I21"/>
  <c r="I20"/>
  <c r="I19"/>
  <c r="I18"/>
  <c r="I17"/>
  <c r="I16"/>
  <c r="I15"/>
  <c r="I14"/>
  <c r="I13"/>
  <c r="I12"/>
  <c r="I11"/>
  <c r="J16" i="4"/>
  <c r="K16"/>
  <c r="L16"/>
  <c r="P16"/>
  <c r="Q16"/>
  <c r="R16"/>
  <c r="W16"/>
  <c r="X16" s="1"/>
  <c r="AC16"/>
  <c r="I11"/>
  <c r="I12"/>
  <c r="I13"/>
  <c r="I14"/>
  <c r="I15"/>
  <c r="I10" i="3"/>
  <c r="I4" i="4"/>
  <c r="I10"/>
  <c r="I5"/>
  <c r="I6"/>
  <c r="I7"/>
  <c r="I8"/>
  <c r="I9"/>
  <c r="J4"/>
  <c r="K4"/>
  <c r="L4"/>
  <c r="P4"/>
  <c r="Q4"/>
  <c r="R4"/>
  <c r="W4"/>
  <c r="X4" s="1"/>
  <c r="AC4"/>
  <c r="I9" i="3"/>
  <c r="I8"/>
  <c r="I7"/>
  <c r="I6"/>
  <c r="I5"/>
  <c r="I4"/>
  <c r="I2" i="4"/>
  <c r="I3"/>
  <c r="I3" i="3"/>
  <c r="H8" i="1"/>
  <c r="H10"/>
  <c r="H7"/>
  <c r="H6"/>
  <c r="H9"/>
  <c r="H4"/>
  <c r="H5"/>
  <c r="I2" i="3"/>
  <c r="AC2" s="1"/>
  <c r="W2" i="4"/>
  <c r="X2" s="1"/>
  <c r="K2"/>
  <c r="R2"/>
  <c r="J2"/>
  <c r="Q2"/>
  <c r="P2"/>
  <c r="L2"/>
  <c r="AC2"/>
  <c r="Q3" i="3"/>
  <c r="P3"/>
  <c r="L3"/>
  <c r="W3"/>
  <c r="X3" s="1"/>
  <c r="K3"/>
  <c r="R3"/>
  <c r="J3"/>
  <c r="AC3"/>
  <c r="M3" i="1"/>
  <c r="N3"/>
  <c r="S3"/>
  <c r="T3"/>
  <c r="Z3"/>
  <c r="B3" i="5" s="1"/>
  <c r="J17" i="3" l="1"/>
  <c r="K17"/>
  <c r="L17"/>
  <c r="P17"/>
  <c r="Q17"/>
  <c r="R17"/>
  <c r="W17"/>
  <c r="X17" s="1"/>
  <c r="AC17"/>
  <c r="J18"/>
  <c r="K18"/>
  <c r="L18"/>
  <c r="P18"/>
  <c r="Q18"/>
  <c r="R18"/>
  <c r="W18"/>
  <c r="X18" s="1"/>
  <c r="AC18"/>
  <c r="J19"/>
  <c r="K19"/>
  <c r="L19"/>
  <c r="P19"/>
  <c r="Q19"/>
  <c r="R19"/>
  <c r="W19"/>
  <c r="X19" s="1"/>
  <c r="AC19"/>
  <c r="J20"/>
  <c r="K20"/>
  <c r="L20"/>
  <c r="P20"/>
  <c r="Q20"/>
  <c r="R20"/>
  <c r="W20"/>
  <c r="X20" s="1"/>
  <c r="AC20"/>
  <c r="J21"/>
  <c r="K21"/>
  <c r="L21"/>
  <c r="P21"/>
  <c r="Q21"/>
  <c r="R21"/>
  <c r="W21"/>
  <c r="X21" s="1"/>
  <c r="AC21"/>
  <c r="J22"/>
  <c r="K22"/>
  <c r="L22"/>
  <c r="P22"/>
  <c r="Q22"/>
  <c r="R22"/>
  <c r="W22"/>
  <c r="X22" s="1"/>
  <c r="AC22"/>
  <c r="J11"/>
  <c r="K11"/>
  <c r="L11"/>
  <c r="P11"/>
  <c r="Q11"/>
  <c r="R11"/>
  <c r="W11"/>
  <c r="X11" s="1"/>
  <c r="AC11"/>
  <c r="J12"/>
  <c r="K12"/>
  <c r="L12"/>
  <c r="P12"/>
  <c r="Q12"/>
  <c r="R12"/>
  <c r="W12"/>
  <c r="X12" s="1"/>
  <c r="AC12"/>
  <c r="J13"/>
  <c r="K13"/>
  <c r="L13"/>
  <c r="P13"/>
  <c r="Q13"/>
  <c r="R13"/>
  <c r="W13"/>
  <c r="X13" s="1"/>
  <c r="AC13"/>
  <c r="J14"/>
  <c r="K14"/>
  <c r="L14"/>
  <c r="P14"/>
  <c r="Q14"/>
  <c r="R14"/>
  <c r="W14"/>
  <c r="X14" s="1"/>
  <c r="AC14"/>
  <c r="J15"/>
  <c r="K15"/>
  <c r="L15"/>
  <c r="P15"/>
  <c r="Q15"/>
  <c r="R15"/>
  <c r="W15"/>
  <c r="X15" s="1"/>
  <c r="AC15"/>
  <c r="J16"/>
  <c r="K16"/>
  <c r="L16"/>
  <c r="P16"/>
  <c r="Q16"/>
  <c r="R16"/>
  <c r="W16"/>
  <c r="X16" s="1"/>
  <c r="AC16"/>
  <c r="J15" i="4"/>
  <c r="K15"/>
  <c r="L15"/>
  <c r="P15"/>
  <c r="Q15"/>
  <c r="R15"/>
  <c r="W15"/>
  <c r="X15" s="1"/>
  <c r="AC15"/>
  <c r="J14"/>
  <c r="K14"/>
  <c r="L14"/>
  <c r="P14"/>
  <c r="Q14"/>
  <c r="R14"/>
  <c r="W14"/>
  <c r="X14" s="1"/>
  <c r="AC14"/>
  <c r="J13"/>
  <c r="K13"/>
  <c r="L13"/>
  <c r="P13"/>
  <c r="Q13"/>
  <c r="R13"/>
  <c r="W13"/>
  <c r="X13" s="1"/>
  <c r="AC13"/>
  <c r="J12"/>
  <c r="K12"/>
  <c r="L12"/>
  <c r="P12"/>
  <c r="Q12"/>
  <c r="R12"/>
  <c r="W12"/>
  <c r="X12" s="1"/>
  <c r="AC12"/>
  <c r="J11"/>
  <c r="K11"/>
  <c r="L11"/>
  <c r="P11"/>
  <c r="Q11"/>
  <c r="R11"/>
  <c r="W11"/>
  <c r="X11" s="1"/>
  <c r="AC11"/>
  <c r="U16"/>
  <c r="O16"/>
  <c r="J10" i="3"/>
  <c r="K10"/>
  <c r="L10"/>
  <c r="P10"/>
  <c r="Q10"/>
  <c r="R10"/>
  <c r="W10"/>
  <c r="X10" s="1"/>
  <c r="AC10"/>
  <c r="J10" i="4"/>
  <c r="K10"/>
  <c r="L10"/>
  <c r="P10"/>
  <c r="Q10"/>
  <c r="R10"/>
  <c r="W10"/>
  <c r="X10" s="1"/>
  <c r="AC10"/>
  <c r="J9"/>
  <c r="K9"/>
  <c r="L9"/>
  <c r="P9"/>
  <c r="Q9"/>
  <c r="R9"/>
  <c r="W9"/>
  <c r="X9" s="1"/>
  <c r="AC9"/>
  <c r="J8"/>
  <c r="K8"/>
  <c r="L8"/>
  <c r="P8"/>
  <c r="Q8"/>
  <c r="R8"/>
  <c r="W8"/>
  <c r="X8" s="1"/>
  <c r="AC8"/>
  <c r="J7"/>
  <c r="K7"/>
  <c r="L7"/>
  <c r="P7"/>
  <c r="Q7"/>
  <c r="R7"/>
  <c r="W7"/>
  <c r="X7" s="1"/>
  <c r="AC7"/>
  <c r="J6"/>
  <c r="K6"/>
  <c r="L6"/>
  <c r="P6"/>
  <c r="Q6"/>
  <c r="R6"/>
  <c r="W6"/>
  <c r="X6" s="1"/>
  <c r="AC6"/>
  <c r="J5"/>
  <c r="K5"/>
  <c r="L5"/>
  <c r="P5"/>
  <c r="Q5"/>
  <c r="R5"/>
  <c r="W5"/>
  <c r="X5" s="1"/>
  <c r="AC5"/>
  <c r="U4"/>
  <c r="O4"/>
  <c r="J6" i="3"/>
  <c r="K6"/>
  <c r="L6"/>
  <c r="P6"/>
  <c r="Q6"/>
  <c r="R6"/>
  <c r="W6"/>
  <c r="X6" s="1"/>
  <c r="AC6"/>
  <c r="J7"/>
  <c r="K7"/>
  <c r="L7"/>
  <c r="P7"/>
  <c r="Q7"/>
  <c r="R7"/>
  <c r="W7"/>
  <c r="X7" s="1"/>
  <c r="AC7"/>
  <c r="J8"/>
  <c r="K8"/>
  <c r="L8"/>
  <c r="P8"/>
  <c r="Q8"/>
  <c r="R8"/>
  <c r="W8"/>
  <c r="X8" s="1"/>
  <c r="AC8"/>
  <c r="J9"/>
  <c r="K9"/>
  <c r="L9"/>
  <c r="P9"/>
  <c r="Q9"/>
  <c r="R9"/>
  <c r="W9"/>
  <c r="X9" s="1"/>
  <c r="AC9"/>
  <c r="J5"/>
  <c r="K5"/>
  <c r="L5"/>
  <c r="P5"/>
  <c r="Q5"/>
  <c r="R5"/>
  <c r="W5"/>
  <c r="X5" s="1"/>
  <c r="AC5"/>
  <c r="E3" i="5"/>
  <c r="AD3" i="1"/>
  <c r="J4" i="3"/>
  <c r="K4"/>
  <c r="L4"/>
  <c r="P4"/>
  <c r="Q4"/>
  <c r="R4"/>
  <c r="W4"/>
  <c r="X4" s="1"/>
  <c r="AC4"/>
  <c r="K3" i="4"/>
  <c r="W3"/>
  <c r="X3" s="1"/>
  <c r="Q3"/>
  <c r="L3"/>
  <c r="P3"/>
  <c r="J3"/>
  <c r="O3" s="1"/>
  <c r="R3"/>
  <c r="AC3"/>
  <c r="O2"/>
  <c r="Q2" i="3"/>
  <c r="R2"/>
  <c r="K2"/>
  <c r="L2"/>
  <c r="W2"/>
  <c r="X2" s="1"/>
  <c r="P2"/>
  <c r="J2"/>
  <c r="U2" i="4"/>
  <c r="O3" i="3"/>
  <c r="U3"/>
  <c r="AA3" i="1"/>
  <c r="H3"/>
  <c r="T2"/>
  <c r="S2"/>
  <c r="N2"/>
  <c r="M2"/>
  <c r="U22" i="3" l="1"/>
  <c r="O22"/>
  <c r="U21"/>
  <c r="O21"/>
  <c r="U20"/>
  <c r="O20"/>
  <c r="U19"/>
  <c r="O19"/>
  <c r="U18"/>
  <c r="O18"/>
  <c r="U17"/>
  <c r="O17"/>
  <c r="U16"/>
  <c r="O16"/>
  <c r="U15"/>
  <c r="O15"/>
  <c r="U14"/>
  <c r="O14"/>
  <c r="U13"/>
  <c r="O13"/>
  <c r="U12"/>
  <c r="O12"/>
  <c r="U11"/>
  <c r="O11"/>
  <c r="V16" i="4"/>
  <c r="U11"/>
  <c r="O11"/>
  <c r="U12"/>
  <c r="O12"/>
  <c r="U13"/>
  <c r="O13"/>
  <c r="U14"/>
  <c r="O14"/>
  <c r="U15"/>
  <c r="O15"/>
  <c r="U10" i="3"/>
  <c r="O10"/>
  <c r="U10" i="4"/>
  <c r="O10"/>
  <c r="U5"/>
  <c r="O5"/>
  <c r="U6"/>
  <c r="O6"/>
  <c r="U7"/>
  <c r="O7"/>
  <c r="U8"/>
  <c r="O8"/>
  <c r="U9"/>
  <c r="O9"/>
  <c r="V4"/>
  <c r="U9" i="3"/>
  <c r="O9"/>
  <c r="U8"/>
  <c r="O8"/>
  <c r="U7"/>
  <c r="O7"/>
  <c r="U6"/>
  <c r="O6"/>
  <c r="U5"/>
  <c r="O5"/>
  <c r="U4"/>
  <c r="O4"/>
  <c r="U3" i="4"/>
  <c r="V3" s="1"/>
  <c r="O2" i="3"/>
  <c r="U2"/>
  <c r="V2" i="4"/>
  <c r="V3" i="3"/>
  <c r="V2"/>
  <c r="AB3" i="1"/>
  <c r="F3" i="5" s="1"/>
  <c r="Z2" i="1"/>
  <c r="V17" i="3" l="1"/>
  <c r="V18"/>
  <c r="V19"/>
  <c r="V20"/>
  <c r="V21"/>
  <c r="V22"/>
  <c r="V11"/>
  <c r="V12"/>
  <c r="V13"/>
  <c r="V14"/>
  <c r="V15"/>
  <c r="V16"/>
  <c r="V15" i="4"/>
  <c r="V14"/>
  <c r="V13"/>
  <c r="V12"/>
  <c r="V11"/>
  <c r="V10" i="3"/>
  <c r="V10" i="4"/>
  <c r="B2" i="5"/>
  <c r="E2" s="1"/>
  <c r="V9" i="4"/>
  <c r="V8"/>
  <c r="V7"/>
  <c r="V6"/>
  <c r="V5"/>
  <c r="V6" i="3"/>
  <c r="V7"/>
  <c r="V8"/>
  <c r="V9"/>
  <c r="V5"/>
  <c r="V4"/>
  <c r="AA2" i="1"/>
  <c r="I29" s="1"/>
  <c r="J29" l="1"/>
  <c r="K29"/>
  <c r="L29"/>
  <c r="P29"/>
  <c r="Q29"/>
  <c r="R29"/>
  <c r="W29"/>
  <c r="X29" s="1"/>
  <c r="AC29"/>
  <c r="I23"/>
  <c r="I28"/>
  <c r="I27"/>
  <c r="I26"/>
  <c r="I25"/>
  <c r="I24"/>
  <c r="I22"/>
  <c r="I21"/>
  <c r="I20"/>
  <c r="I19"/>
  <c r="I18"/>
  <c r="I17"/>
  <c r="I16"/>
  <c r="I15"/>
  <c r="I14"/>
  <c r="I13"/>
  <c r="I12"/>
  <c r="I11"/>
  <c r="I2"/>
  <c r="I10"/>
  <c r="AC10" s="1"/>
  <c r="G10" i="5" s="1"/>
  <c r="I5" i="1"/>
  <c r="I8"/>
  <c r="AC8" s="1"/>
  <c r="G8" i="5" s="1"/>
  <c r="I9" i="1"/>
  <c r="AC9" s="1"/>
  <c r="G9" i="5" s="1"/>
  <c r="I6" i="1"/>
  <c r="AC6" s="1"/>
  <c r="G6" i="5" s="1"/>
  <c r="I7" i="1"/>
  <c r="AC7" s="1"/>
  <c r="G7" i="5" s="1"/>
  <c r="I4" i="1"/>
  <c r="AC4" s="1"/>
  <c r="G4" i="5" s="1"/>
  <c r="AB2" i="1"/>
  <c r="I3"/>
  <c r="AC3" s="1"/>
  <c r="G3" i="5" s="1"/>
  <c r="U29" i="1" l="1"/>
  <c r="O29"/>
  <c r="J24"/>
  <c r="K24"/>
  <c r="L24"/>
  <c r="P24"/>
  <c r="Q24"/>
  <c r="R24"/>
  <c r="W24"/>
  <c r="X24" s="1"/>
  <c r="AC24"/>
  <c r="J25"/>
  <c r="K25"/>
  <c r="L25"/>
  <c r="P25"/>
  <c r="Q25"/>
  <c r="R25"/>
  <c r="W25"/>
  <c r="X25" s="1"/>
  <c r="AC25"/>
  <c r="J26"/>
  <c r="K26"/>
  <c r="L26"/>
  <c r="P26"/>
  <c r="Q26"/>
  <c r="R26"/>
  <c r="W26"/>
  <c r="X26" s="1"/>
  <c r="AC26"/>
  <c r="J27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3"/>
  <c r="K23"/>
  <c r="L23"/>
  <c r="P23"/>
  <c r="Q23"/>
  <c r="R23"/>
  <c r="W23"/>
  <c r="X23" s="1"/>
  <c r="AC23"/>
  <c r="J17"/>
  <c r="K17"/>
  <c r="L17"/>
  <c r="P17"/>
  <c r="Q17"/>
  <c r="R17"/>
  <c r="W17"/>
  <c r="X17" s="1"/>
  <c r="AC17"/>
  <c r="G17" i="5" s="1"/>
  <c r="J18" i="1"/>
  <c r="K18"/>
  <c r="L18"/>
  <c r="P18"/>
  <c r="Q18"/>
  <c r="R18"/>
  <c r="W18"/>
  <c r="X18" s="1"/>
  <c r="AC18"/>
  <c r="G18" i="5" s="1"/>
  <c r="J19" i="1"/>
  <c r="K19"/>
  <c r="L19"/>
  <c r="P19"/>
  <c r="Q19"/>
  <c r="R19"/>
  <c r="W19"/>
  <c r="X19" s="1"/>
  <c r="AC19"/>
  <c r="G19" i="5" s="1"/>
  <c r="J20" i="1"/>
  <c r="K20"/>
  <c r="L20"/>
  <c r="P20"/>
  <c r="Q20"/>
  <c r="R20"/>
  <c r="W20"/>
  <c r="X20" s="1"/>
  <c r="AC20"/>
  <c r="G20" i="5" s="1"/>
  <c r="J21" i="1"/>
  <c r="K21"/>
  <c r="L21"/>
  <c r="P21"/>
  <c r="Q21"/>
  <c r="R21"/>
  <c r="W21"/>
  <c r="X21" s="1"/>
  <c r="AC21"/>
  <c r="G21" i="5" s="1"/>
  <c r="J22" i="1"/>
  <c r="K22"/>
  <c r="L22"/>
  <c r="P22"/>
  <c r="Q22"/>
  <c r="R22"/>
  <c r="W22"/>
  <c r="X22" s="1"/>
  <c r="AC22"/>
  <c r="G22" i="5" s="1"/>
  <c r="J11" i="1"/>
  <c r="K11"/>
  <c r="L11"/>
  <c r="P11"/>
  <c r="Q11"/>
  <c r="R11"/>
  <c r="W11"/>
  <c r="X11" s="1"/>
  <c r="AC11"/>
  <c r="G11" i="5" s="1"/>
  <c r="J12" i="1"/>
  <c r="K12"/>
  <c r="L12"/>
  <c r="P12"/>
  <c r="Q12"/>
  <c r="R12"/>
  <c r="W12"/>
  <c r="X12" s="1"/>
  <c r="AC12"/>
  <c r="G12" i="5" s="1"/>
  <c r="J13" i="1"/>
  <c r="K13"/>
  <c r="L13"/>
  <c r="P13"/>
  <c r="Q13"/>
  <c r="R13"/>
  <c r="W13"/>
  <c r="X13" s="1"/>
  <c r="AC13"/>
  <c r="G13" i="5" s="1"/>
  <c r="J14" i="1"/>
  <c r="K14"/>
  <c r="L14"/>
  <c r="P14"/>
  <c r="Q14"/>
  <c r="R14"/>
  <c r="W14"/>
  <c r="X14" s="1"/>
  <c r="AC14"/>
  <c r="G14" i="5" s="1"/>
  <c r="J15" i="1"/>
  <c r="K15"/>
  <c r="L15"/>
  <c r="P15"/>
  <c r="Q15"/>
  <c r="R15"/>
  <c r="W15"/>
  <c r="X15" s="1"/>
  <c r="AC15"/>
  <c r="G15" i="5" s="1"/>
  <c r="J16" i="1"/>
  <c r="K16"/>
  <c r="L16"/>
  <c r="P16"/>
  <c r="Q16"/>
  <c r="R16"/>
  <c r="W16"/>
  <c r="X16" s="1"/>
  <c r="AC16"/>
  <c r="G16" i="5" s="1"/>
  <c r="AC2" i="1"/>
  <c r="G2" i="5" s="1"/>
  <c r="F2"/>
  <c r="W5" i="1"/>
  <c r="X5" s="1"/>
  <c r="AC5"/>
  <c r="G5" i="5" s="1"/>
  <c r="R5" i="1"/>
  <c r="Q5"/>
  <c r="P5"/>
  <c r="K5"/>
  <c r="P10"/>
  <c r="J10"/>
  <c r="Q10"/>
  <c r="K10"/>
  <c r="R10"/>
  <c r="L10"/>
  <c r="W10"/>
  <c r="X10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V29" l="1"/>
  <c r="U23"/>
  <c r="O23"/>
  <c r="U28"/>
  <c r="O28"/>
  <c r="U27"/>
  <c r="O27"/>
  <c r="U26"/>
  <c r="O26"/>
  <c r="U25"/>
  <c r="O25"/>
  <c r="U24"/>
  <c r="O24"/>
  <c r="U22"/>
  <c r="O22"/>
  <c r="U21"/>
  <c r="O21"/>
  <c r="U20"/>
  <c r="O20"/>
  <c r="U19"/>
  <c r="O19"/>
  <c r="U18"/>
  <c r="O18"/>
  <c r="U17"/>
  <c r="O17"/>
  <c r="U16"/>
  <c r="O16"/>
  <c r="U15"/>
  <c r="O15"/>
  <c r="U14"/>
  <c r="O14"/>
  <c r="U13"/>
  <c r="O13"/>
  <c r="U12"/>
  <c r="O12"/>
  <c r="U11"/>
  <c r="O11"/>
  <c r="U5"/>
  <c r="U10"/>
  <c r="O10"/>
  <c r="O6"/>
  <c r="O5"/>
  <c r="U6"/>
  <c r="U8"/>
  <c r="U7"/>
  <c r="O9"/>
  <c r="O8"/>
  <c r="O7"/>
  <c r="U9"/>
  <c r="O4"/>
  <c r="U4"/>
  <c r="U3"/>
  <c r="O3"/>
  <c r="O2"/>
  <c r="U2"/>
  <c r="V24" l="1"/>
  <c r="V25"/>
  <c r="V26"/>
  <c r="V27"/>
  <c r="V28"/>
  <c r="V23"/>
  <c r="V17"/>
  <c r="V18"/>
  <c r="V19"/>
  <c r="V20"/>
  <c r="V21"/>
  <c r="V22"/>
  <c r="V11"/>
  <c r="V12"/>
  <c r="V13"/>
  <c r="V14"/>
  <c r="V15"/>
  <c r="V16"/>
  <c r="V5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<sst xmlns="http://schemas.openxmlformats.org/spreadsheetml/2006/main" count="109" uniqueCount="45">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</sst>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  <numFmt numFmtId="169" formatCode="dd/m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rgb="FFFF0000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69" fontId="9" fillId="0" borderId="0" xfId="0" applyNumberFormat="1" applyFont="1" applyBorder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0" fontId="2" fillId="0" borderId="0" xfId="0" applyFont="1" applyBorder="1"/>
    <xf numFmtId="169" fontId="2" fillId="0" borderId="0" xfId="0" applyNumberFormat="1" applyFont="1"/>
    <xf numFmtId="169" fontId="2" fillId="0" borderId="0" xfId="0" applyNumberFormat="1" applyFont="1" applyBorder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/>
    <xf numFmtId="167" fontId="12" fillId="0" borderId="0" xfId="0" applyNumberFormat="1" applyFont="1"/>
    <xf numFmtId="0" fontId="12" fillId="0" borderId="0" xfId="0" applyNumberFormat="1" applyFont="1"/>
    <xf numFmtId="164" fontId="12" fillId="0" borderId="0" xfId="0" applyNumberFormat="1" applyFont="1"/>
    <xf numFmtId="0" fontId="13" fillId="0" borderId="0" xfId="0" applyNumberFormat="1" applyFont="1"/>
    <xf numFmtId="10" fontId="14" fillId="0" borderId="0" xfId="0" applyNumberFormat="1" applyFont="1"/>
    <xf numFmtId="164" fontId="12" fillId="0" borderId="0" xfId="1" applyFont="1" applyBorder="1"/>
    <xf numFmtId="164" fontId="12" fillId="0" borderId="0" xfId="1" applyNumberFormat="1" applyFont="1" applyBorder="1"/>
    <xf numFmtId="164" fontId="13" fillId="0" borderId="0" xfId="1" applyNumberFormat="1" applyFont="1" applyBorder="1"/>
    <xf numFmtId="10" fontId="12" fillId="0" borderId="0" xfId="2" applyNumberFormat="1" applyFont="1" applyBorder="1"/>
    <xf numFmtId="10" fontId="12" fillId="0" borderId="0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D31" totalsRowCount="1" headerRowDxfId="178">
  <autoFilter ref="A1:AD30">
    <filterColumn colId="29"/>
  </autoFilter>
  <tableColumns count="30">
    <tableColumn id="1" name="TRADE" totalsRowLabel="Total" dataDxfId="177" totalsRowDxfId="58"/>
    <tableColumn id="2" name="DATA" dataDxfId="176" totalsRowDxfId="57"/>
    <tableColumn id="12" name="RENDA FIXA" dataDxfId="175" totalsRowDxfId="56" dataCellStyle="Moeda"/>
    <tableColumn id="26" name="APORTE RF" dataDxfId="174" totalsRowDxfId="55" dataCellStyle="Moeda"/>
    <tableColumn id="9" name="SAQUE" dataDxfId="173" totalsRowDxfId="54" dataCellStyle="Moeda"/>
    <tableColumn id="5" name="LUCRO" dataDxfId="172" totalsRowDxfId="53" dataCellStyle="Moeda"/>
    <tableColumn id="3" name="APORTE" totalsRowFunction="sum" dataDxfId="171" totalsRowDxfId="52" dataCellStyle="Moeda">
      <calculatedColumnFormula>380</calculatedColumnFormula>
    </tableColumn>
    <tableColumn id="4" name="MONTANTE" dataDxfId="170" totalsRowDxfId="51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9" totalsRowDxfId="50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8" totalsRowDxfId="49" dataCellStyle="Moeda">
      <calculatedColumnFormula>TRUNC([APLICAÇÃO]  * SETUP!$A$3, 2)</calculatedColumnFormula>
    </tableColumn>
    <tableColumn id="13" name="LIQD CP" dataDxfId="167" totalsRowDxfId="48" dataCellStyle="Moeda">
      <calculatedColumnFormula>TRUNC([APLICAÇÃO]  * SETUP!$B$3, 2)</calculatedColumnFormula>
    </tableColumn>
    <tableColumn id="14" name="REG CP" dataDxfId="166" totalsRowDxfId="47" dataCellStyle="Moeda">
      <calculatedColumnFormula>TRUNC([APLICAÇÃO]  * SETUP!$C$3, 2)</calculatedColumnFormula>
    </tableColumn>
    <tableColumn id="16" name="ISS CP" dataDxfId="165" totalsRowDxfId="46" dataCellStyle="Moeda">
      <calculatedColumnFormula>TRUNC(SETUP!$G$3  * SETUP!$H$3, 2)</calculatedColumnFormula>
    </tableColumn>
    <tableColumn id="19" name="OUTRAS CP" dataDxfId="164" totalsRowDxfId="45" dataCellStyle="Moeda">
      <calculatedColumnFormula>ROUND(SETUP!$G$3 * SETUP!$I$3, 2)</calculatedColumnFormula>
    </tableColumn>
    <tableColumn id="18" name="TAXA CP" dataDxfId="163" totalsRowDxfId="44" dataCellStyle="Moeda">
      <calculatedColumnFormula>SETUP!$G$3 + SUM(Tabela1[[#This Row],[EMOL CP]]:Tabela1[[#This Row],[OUTRAS CP]])</calculatedColumnFormula>
    </tableColumn>
    <tableColumn id="25" name="EMOL VD" dataDxfId="162" totalsRowDxfId="43" dataCellStyle="Moeda">
      <calculatedColumnFormula>TRUNC([APLICAÇÃO] * 2  * SETUP!$A$3, 2)</calculatedColumnFormula>
    </tableColumn>
    <tableColumn id="24" name="LIQD VD" dataDxfId="161" totalsRowDxfId="42" dataCellStyle="Moeda">
      <calculatedColumnFormula>TRUNC([APLICAÇÃO] * 2  * SETUP!$B$3, 2)</calculatedColumnFormula>
    </tableColumn>
    <tableColumn id="23" name="REG VD" dataDxfId="160" totalsRowDxfId="41" dataCellStyle="Moeda">
      <calculatedColumnFormula>TRUNC([APLICAÇÃO] * 2  * SETUP!$C$3, 2)</calculatedColumnFormula>
    </tableColumn>
    <tableColumn id="22" name="ISS VD" dataDxfId="159" totalsRowDxfId="40" dataCellStyle="Moeda">
      <calculatedColumnFormula>TRUNC(SETUP!$G$3  * SETUP!$H$3, 2)</calculatedColumnFormula>
    </tableColumn>
    <tableColumn id="21" name="OUTRAS VD" dataDxfId="158" totalsRowDxfId="39" dataCellStyle="Moeda">
      <calculatedColumnFormula>ROUND(SETUP!$G$3 * SETUP!$I$3, 2)</calculatedColumnFormula>
    </tableColumn>
    <tableColumn id="20" name="TAXA VD" dataDxfId="157" totalsRowDxfId="38" dataCellStyle="Moeda">
      <calculatedColumnFormula>SETUP!$G$3 + SUM(Tabela1[[#This Row],[EMOL VD]]:Tabela1[[#This Row],[OUTRAS VD]])</calculatedColumnFormula>
    </tableColumn>
    <tableColumn id="17" name="PREV LUCRO" dataDxfId="156" totalsRowDxfId="37" dataCellStyle="Moeda">
      <calculatedColumnFormula>((([APLICAÇÃO] * 2) - [TAXA VD]) - ([APLICAÇÃO] + [TAXA CP])) * 0.85</calculatedColumnFormula>
    </tableColumn>
    <tableColumn id="28" name="PERDA MAX" dataDxfId="155" totalsRowDxfId="36" dataCellStyle="Moeda">
      <calculatedColumnFormula>[APLICAÇÃO] - (ROUND([RENDA FIXA] * 0.1,2))</calculatedColumnFormula>
    </tableColumn>
    <tableColumn id="29" name="% PERDA" dataDxfId="154" totalsRowDxfId="35" dataCellStyle="Porcentagem">
      <calculatedColumnFormula>Tabela1[[#This Row],[PERDA MAX]]/Tabela1[[#This Row],[APLICAÇÃO]]</calculatedColumnFormula>
    </tableColumn>
    <tableColumn id="6" name="NO BOLSO" dataDxfId="153" totalsRowDxfId="34">
      <calculatedColumnFormula>IF([LUCRO] &lt; ([RENDA FIXA]/2), 0.8, 0.8)</calculatedColumnFormula>
    </tableColumn>
    <tableColumn id="7" name="PROTEÇÃO MÊS" dataDxfId="152" totalsRowDxfId="33" dataCellStyle="Moeda">
      <calculatedColumnFormula>IF([LUCRO] &lt; 0, 0, ROUND([LUCRO]*[NO BOLSO], 2))</calculatedColumnFormula>
    </tableColumn>
    <tableColumn id="8" name="REINVESTIR" dataDxfId="151" totalsRowDxfId="32" dataCellStyle="Moeda">
      <calculatedColumnFormula>[LUCRO]-[PROTEÇÃO MÊS]</calculatedColumnFormula>
    </tableColumn>
    <tableColumn id="15" name="TOT RF" dataDxfId="150" totalsRowDxfId="31" dataCellStyle="Moeda">
      <calculatedColumnFormula>[RENDA FIXA] + [PROTEÇÃO MÊS] - [APORTE RF]</calculatedColumnFormula>
    </tableColumn>
    <tableColumn id="27" name="PATRIMÔNIO" dataDxfId="149" totalsRowDxfId="30" dataCellStyle="Moeda">
      <calculatedColumnFormula>[TOT RF] + [REINVESTIR] + [APLICAÇÃO]</calculatedColumnFormula>
    </tableColumn>
    <tableColumn id="30" name="%" dataDxfId="148" totalsRowDxfId="29" dataCellStyle="Porcentagem">
      <calculatedColumnFormula>IF([RENDA FIXA] &gt; 0, [PROTEÇÃO MÊS] / [RENDA FIXA],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31" totalsRowCount="1" headerRowDxfId="147">
  <autoFilter ref="A1:AC30"/>
  <tableColumns count="29">
    <tableColumn id="1" name="TRADE" totalsRowLabel="Total" dataDxfId="146" totalsRowDxfId="28"/>
    <tableColumn id="2" name="DATA" dataDxfId="145" totalsRowDxfId="27"/>
    <tableColumn id="12" name="RENDA FIXA" dataDxfId="144" totalsRowDxfId="26" dataCellStyle="Moeda"/>
    <tableColumn id="26" name="APORTE RF" dataDxfId="143" totalsRowDxfId="25" dataCellStyle="Moeda"/>
    <tableColumn id="9" name="SAQUE" dataDxfId="142" totalsRowDxfId="24" dataCellStyle="Moeda"/>
    <tableColumn id="5" name="LUCRO" dataDxfId="141" totalsRowDxfId="23" dataCellStyle="Moeda"/>
    <tableColumn id="3" name="APORTE" dataDxfId="140" totalsRowDxfId="22" dataCellStyle="Moeda">
      <calculatedColumnFormula>100</calculatedColumnFormula>
    </tableColumn>
    <tableColumn id="4" name="MONTANTE" dataDxfId="139" totalsRowDxfId="21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8" totalsRowDxfId="20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7" totalsRowDxfId="19" dataCellStyle="Moeda">
      <calculatedColumnFormula>TRUNC([APLICAÇÃO]  * SETUP!$A$3, 2)</calculatedColumnFormula>
    </tableColumn>
    <tableColumn id="13" name="LIQD CP" dataDxfId="136" totalsRowDxfId="18" dataCellStyle="Moeda">
      <calculatedColumnFormula>TRUNC([APLICAÇÃO]  * SETUP!$B$3, 2)</calculatedColumnFormula>
    </tableColumn>
    <tableColumn id="14" name="REG CP" dataDxfId="135" totalsRowDxfId="17" dataCellStyle="Moeda">
      <calculatedColumnFormula>TRUNC([APLICAÇÃO]  * SETUP!$C$3, 2)</calculatedColumnFormula>
    </tableColumn>
    <tableColumn id="16" name="ISS CP" dataDxfId="134" totalsRowDxfId="16" dataCellStyle="Moeda">
      <calculatedColumnFormula>TRUNC(SETUP!$G$3  * SETUP!$H$3, 2)</calculatedColumnFormula>
    </tableColumn>
    <tableColumn id="19" name="OUTRAS CP" dataDxfId="133" totalsRowDxfId="15" dataCellStyle="Moeda">
      <calculatedColumnFormula>ROUND(SETUP!$G$3 * SETUP!$I$3, 2)</calculatedColumnFormula>
    </tableColumn>
    <tableColumn id="18" name="TAXA CP" dataDxfId="132" totalsRowDxfId="14" dataCellStyle="Moeda">
      <calculatedColumnFormula>SETUP!$G$3 + SUM(Tabela13[[#This Row],[EMOL CP]]:Tabela13[[#This Row],[OUTRAS CP]])</calculatedColumnFormula>
    </tableColumn>
    <tableColumn id="25" name="EMOL VD" dataDxfId="131" totalsRowDxfId="13" dataCellStyle="Moeda">
      <calculatedColumnFormula>TRUNC([APLICAÇÃO] * 2  * SETUP!$A$3, 2)</calculatedColumnFormula>
    </tableColumn>
    <tableColumn id="24" name="LIQD VD" dataDxfId="130" totalsRowDxfId="12" dataCellStyle="Moeda">
      <calculatedColumnFormula>TRUNC([APLICAÇÃO] * 2  * SETUP!$B$3, 2)</calculatedColumnFormula>
    </tableColumn>
    <tableColumn id="23" name="REG VD" dataDxfId="129" totalsRowDxfId="11" dataCellStyle="Moeda">
      <calculatedColumnFormula>TRUNC([APLICAÇÃO] * 2  * SETUP!$C$3, 2)</calculatedColumnFormula>
    </tableColumn>
    <tableColumn id="22" name="ISS VD" dataDxfId="128" totalsRowDxfId="10" dataCellStyle="Moeda">
      <calculatedColumnFormula>TRUNC(SETUP!$G$3  * SETUP!$H$3, 2)</calculatedColumnFormula>
    </tableColumn>
    <tableColumn id="21" name="OUTRAS VD" dataDxfId="127" totalsRowDxfId="9" dataCellStyle="Moeda">
      <calculatedColumnFormula>ROUND(SETUP!$G$3 * SETUP!$I$3, 2)</calculatedColumnFormula>
    </tableColumn>
    <tableColumn id="20" name="TAXA VD" dataDxfId="126" totalsRowDxfId="8" dataCellStyle="Moeda">
      <calculatedColumnFormula>SETUP!$G$3 + SUM(Tabela13[[#This Row],[EMOL VD]]:Tabela13[[#This Row],[OUTRAS VD]])</calculatedColumnFormula>
    </tableColumn>
    <tableColumn id="17" name="PREV LUCRO" dataDxfId="125" totalsRowDxfId="7" dataCellStyle="Moeda">
      <calculatedColumnFormula>((([APLICAÇÃO] * 2) - [TAXA VD]) - ([APLICAÇÃO] + [TAXA CP])) * 0.85</calculatedColumnFormula>
    </tableColumn>
    <tableColumn id="28" name="PERDA MAX" dataDxfId="124" totalsRowDxfId="6" dataCellStyle="Moeda">
      <calculatedColumnFormula>[APLICAÇÃO] - (ROUND([RENDA FIXA] * 0.1,2))</calculatedColumnFormula>
    </tableColumn>
    <tableColumn id="29" name="% PERDA" dataDxfId="123" totalsRowDxfId="5" dataCellStyle="Porcentagem">
      <calculatedColumnFormula>Tabela13[[#This Row],[PERDA MAX]]/Tabela13[[#This Row],[APLICAÇÃO]]</calculatedColumnFormula>
    </tableColumn>
    <tableColumn id="6" name="NO BOLSO" dataDxfId="122" totalsRowDxfId="4">
      <calculatedColumnFormula>IF([LUCRO] &lt; ([RENDA FIXA]/2), 0.8, 0.8)</calculatedColumnFormula>
    </tableColumn>
    <tableColumn id="7" name="PROTEÇÃO MÊS" dataDxfId="121" totalsRowDxfId="3" dataCellStyle="Moeda">
      <calculatedColumnFormula>IF([LUCRO] &lt; 0, 0, ROUND([LUCRO]*[NO BOLSO], 2))</calculatedColumnFormula>
    </tableColumn>
    <tableColumn id="8" name="REINVESTIR" dataDxfId="120" totalsRowDxfId="2" dataCellStyle="Moeda">
      <calculatedColumnFormula>[LUCRO]-[PROTEÇÃO MÊS]</calculatedColumnFormula>
    </tableColumn>
    <tableColumn id="15" name="TOT RF" dataDxfId="119" totalsRowDxfId="1" dataCellStyle="Moeda">
      <calculatedColumnFormula>[RENDA FIXA] + [PROTEÇÃO MÊS] - [APORTE RF]</calculatedColumnFormula>
    </tableColumn>
    <tableColumn id="27" name="PATRIMÔNIO" dataDxfId="118" totalsRowDxfId="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23" totalsRowCount="1" headerRowDxfId="117">
  <autoFilter ref="A1:AC22"/>
  <tableColumns count="29">
    <tableColumn id="1" name="TRADE" totalsRowLabel="Total" dataDxfId="116" totalsRowDxfId="115"/>
    <tableColumn id="2" name="DATA" dataDxfId="114" totalsRowDxfId="113"/>
    <tableColumn id="12" name="RENDA FIXA" dataDxfId="112" totalsRowDxfId="111" dataCellStyle="Moeda"/>
    <tableColumn id="26" name="APORTE RF" dataDxfId="110" totalsRowDxfId="109" dataCellStyle="Moeda"/>
    <tableColumn id="9" name="SAQUE" dataDxfId="108" totalsRowDxfId="107" dataCellStyle="Moeda"/>
    <tableColumn id="5" name="LUCRO" dataDxfId="106" totalsRowDxfId="105" dataCellStyle="Moeda"/>
    <tableColumn id="3" name="APORTE" dataDxfId="104" totalsRowDxfId="103" dataCellStyle="Moeda">
      <calculatedColumnFormula>100</calculatedColumnFormula>
    </tableColumn>
    <tableColumn id="4" name="MONTANTE" dataDxfId="102" totalsRowDxfId="101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100" totalsRowDxfId="99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98" totalsRowDxfId="97" dataCellStyle="Moeda">
      <calculatedColumnFormula>TRUNC([APLICAÇÃO]  * SETUP!$A$3, 2)</calculatedColumnFormula>
    </tableColumn>
    <tableColumn id="13" name="LIQD CP" dataDxfId="96" totalsRowDxfId="95" dataCellStyle="Moeda">
      <calculatedColumnFormula>TRUNC([APLICAÇÃO]  * SETUP!$B$3, 2)</calculatedColumnFormula>
    </tableColumn>
    <tableColumn id="14" name="REG CP" dataDxfId="94" totalsRowDxfId="93" dataCellStyle="Moeda">
      <calculatedColumnFormula>TRUNC([APLICAÇÃO]  * SETUP!$C$3, 2)</calculatedColumnFormula>
    </tableColumn>
    <tableColumn id="16" name="ISS CP" dataDxfId="92" totalsRowDxfId="91" dataCellStyle="Moeda">
      <calculatedColumnFormula>TRUNC(SETUP!$G$3  * SETUP!$H$3, 2)</calculatedColumnFormula>
    </tableColumn>
    <tableColumn id="19" name="OUTRAS CP" dataDxfId="90" totalsRowDxfId="89" dataCellStyle="Moeda">
      <calculatedColumnFormula>ROUND(SETUP!$G$3 * SETUP!$I$3, 2)</calculatedColumnFormula>
    </tableColumn>
    <tableColumn id="18" name="TAXA CP" dataDxfId="88" totalsRowDxfId="87" dataCellStyle="Moeda">
      <calculatedColumnFormula>SETUP!$G$3 + SUM(Tabela134[[#This Row],[EMOL CP]]:Tabela134[[#This Row],[OUTRAS CP]])</calculatedColumnFormula>
    </tableColumn>
    <tableColumn id="25" name="EMOL VD" dataDxfId="86" totalsRowDxfId="85" dataCellStyle="Moeda">
      <calculatedColumnFormula>TRUNC([APLICAÇÃO] * 2  * SETUP!$A$3, 2)</calculatedColumnFormula>
    </tableColumn>
    <tableColumn id="24" name="LIQD VD" dataDxfId="84" totalsRowDxfId="83" dataCellStyle="Moeda">
      <calculatedColumnFormula>TRUNC([APLICAÇÃO] * 2  * SETUP!$B$3, 2)</calculatedColumnFormula>
    </tableColumn>
    <tableColumn id="23" name="REG VD" dataDxfId="82" totalsRowDxfId="81" dataCellStyle="Moeda">
      <calculatedColumnFormula>TRUNC([APLICAÇÃO] * 2  * SETUP!$C$3, 2)</calculatedColumnFormula>
    </tableColumn>
    <tableColumn id="22" name="ISS VD" dataDxfId="80" totalsRowDxfId="79" dataCellStyle="Moeda">
      <calculatedColumnFormula>TRUNC(SETUP!$G$3  * SETUP!$H$3, 2)</calculatedColumnFormula>
    </tableColumn>
    <tableColumn id="21" name="OUTRAS VD" dataDxfId="78" totalsRowDxfId="77" dataCellStyle="Moeda">
      <calculatedColumnFormula>ROUND(SETUP!$G$3 * SETUP!$I$3, 2)</calculatedColumnFormula>
    </tableColumn>
    <tableColumn id="20" name="TAXA VD" dataDxfId="76" totalsRowDxfId="75" dataCellStyle="Moeda">
      <calculatedColumnFormula>SETUP!$G$3 + SUM(Tabela134[[#This Row],[EMOL VD]]:Tabela134[[#This Row],[OUTRAS VD]])</calculatedColumnFormula>
    </tableColumn>
    <tableColumn id="17" name="PREV LUCRO" dataDxfId="74" totalsRowDxfId="73" dataCellStyle="Moeda">
      <calculatedColumnFormula>((([APLICAÇÃO] * 2) - [TAXA VD]) - ([APLICAÇÃO] + [TAXA CP])) * 0.85</calculatedColumnFormula>
    </tableColumn>
    <tableColumn id="28" name="PERDA MAX" dataDxfId="72" totalsRowDxfId="71" dataCellStyle="Moeda">
      <calculatedColumnFormula>[APLICAÇÃO] - (ROUND([RENDA FIXA] * 0.1,2))</calculatedColumnFormula>
    </tableColumn>
    <tableColumn id="29" name="% PERDA" dataDxfId="70" totalsRowDxfId="69" dataCellStyle="Porcentagem">
      <calculatedColumnFormula>Tabela134[[#This Row],[PERDA MAX]]/Tabela134[[#This Row],[APLICAÇÃO]]</calculatedColumnFormula>
    </tableColumn>
    <tableColumn id="6" name="NO BOLSO" dataDxfId="68" totalsRowDxfId="67">
      <calculatedColumnFormula>IF([LUCRO] &lt; ([RENDA FIXA]/2), 0.8, 0.8)</calculatedColumnFormula>
    </tableColumn>
    <tableColumn id="7" name="PROTEÇÃO MÊS" dataDxfId="66" totalsRowDxfId="65" dataCellStyle="Moeda">
      <calculatedColumnFormula>IF([LUCRO] &lt; 0, 0, ROUND([LUCRO]*[NO BOLSO], 2))</calculatedColumnFormula>
    </tableColumn>
    <tableColumn id="8" name="REINVESTIR" dataDxfId="64" totalsRowDxfId="63" dataCellStyle="Moeda">
      <calculatedColumnFormula>[LUCRO]-[PROTEÇÃO MÊS]</calculatedColumnFormula>
    </tableColumn>
    <tableColumn id="15" name="TOT RF" dataDxfId="62" totalsRowDxfId="61" dataCellStyle="Moeda">
      <calculatedColumnFormula>[RENDA FIXA] + [PROTEÇÃO MÊS] - [APORTE RF]</calculatedColumnFormula>
    </tableColumn>
    <tableColumn id="27" name="PATRIMÔNIO" dataDxfId="60" totalsRowDxfId="59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D31"/>
  <sheetViews>
    <sheetView workbookViewId="0">
      <selection activeCell="D5" sqref="D5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hidden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30" width="6.85546875" style="4" bestFit="1" customWidth="1"/>
    <col min="31" max="16384" width="9.140625" style="1"/>
  </cols>
  <sheetData>
    <row r="1" spans="1:30">
      <c r="A1" s="2" t="s">
        <v>30</v>
      </c>
      <c r="B1" s="19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  <c r="AD1" s="35" t="s">
        <v>38</v>
      </c>
    </row>
    <row r="2" spans="1:30">
      <c r="A2" s="1">
        <v>1</v>
      </c>
      <c r="B2" s="20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  <c r="AD2" s="36">
        <f>IF([RENDA FIXA] &gt; 0, [PROTEÇÃO MÊS] / [RENDA FIXA], 0)</f>
        <v>0</v>
      </c>
    </row>
    <row r="3" spans="1:30">
      <c r="A3" s="1">
        <v>2</v>
      </c>
      <c r="B3" s="20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  <c r="AD3" s="36">
        <f>IF([RENDA FIXA] &gt; 0, [PROTEÇÃO MÊS] / [RENDA FIXA], 0)</f>
        <v>0</v>
      </c>
    </row>
    <row r="4" spans="1:30">
      <c r="A4" s="1">
        <v>3</v>
      </c>
      <c r="B4" s="20">
        <v>41061</v>
      </c>
      <c r="C4" s="3">
        <v>293.5</v>
      </c>
      <c r="D4" s="3"/>
      <c r="E4" s="3"/>
      <c r="F4" s="3">
        <v>780.05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624.04</v>
      </c>
      <c r="AA4" s="6">
        <f>[LUCRO]-[PROTEÇÃO MÊS]</f>
        <v>156.01</v>
      </c>
      <c r="AB4" s="6">
        <f>[RENDA FIXA] + [PROTEÇÃO MÊS] - [APORTE RF]</f>
        <v>917.54</v>
      </c>
      <c r="AC4" s="6">
        <f>[TOT RF] + [REINVESTIR] + [APLICAÇÃO]</f>
        <v>2346.9300000000003</v>
      </c>
      <c r="AD4" s="36">
        <f>IF([RENDA FIXA] &gt; 0, [PROTEÇÃO MÊS] / [RENDA FIXA], 0)</f>
        <v>2.1262010221465077</v>
      </c>
    </row>
    <row r="5" spans="1:30">
      <c r="A5" s="1">
        <v>4</v>
      </c>
      <c r="B5" s="20">
        <v>41091</v>
      </c>
      <c r="C5" s="3">
        <v>917.54</v>
      </c>
      <c r="D5" s="3"/>
      <c r="E5" s="3"/>
      <c r="F5" s="3">
        <v>1521.94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1829.3899999999999</v>
      </c>
      <c r="J5" s="6">
        <f>TRUNC([APLICAÇÃO]  * SETUP!$A$3, 2)</f>
        <v>0.67</v>
      </c>
      <c r="K5" s="6">
        <f>TRUNC([APLICAÇÃO]  * SETUP!$B$3, 2)</f>
        <v>0.5</v>
      </c>
      <c r="L5" s="6">
        <f>TRUNC([APLICAÇÃO]  * SETUP!$C$3, 2)</f>
        <v>1.27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18.21</v>
      </c>
      <c r="P5" s="6">
        <f>TRUNC([APLICAÇÃO] * 2  * SETUP!$A$3, 2)</f>
        <v>1.35</v>
      </c>
      <c r="Q5" s="6">
        <f>TRUNC([APLICAÇÃO] * 2  * SETUP!$B$3, 2)</f>
        <v>1</v>
      </c>
      <c r="R5" s="6">
        <f>TRUNC([APLICAÇÃO] * 2  * SETUP!$C$3, 2)</f>
        <v>2.54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20.66</v>
      </c>
      <c r="V5" s="6">
        <f>((([APLICAÇÃO] * 2) - [TAXA VD]) - ([APLICAÇÃO] + [TAXA CP])) * 0.85</f>
        <v>1521.942</v>
      </c>
      <c r="W5" s="14">
        <f>[APLICAÇÃO] - (ROUND([RENDA FIXA] * 0.1,2))</f>
        <v>1737.6399999999999</v>
      </c>
      <c r="X5" s="4">
        <f>Tabela1[[#This Row],[PERDA MAX]]/Tabela1[[#This Row],[APLICAÇÃO]]</f>
        <v>0.94984667020154256</v>
      </c>
      <c r="Y5" s="4">
        <f>IF([LUCRO] &lt; ([RENDA FIXA]/2), 0.8, 0.8)</f>
        <v>0.8</v>
      </c>
      <c r="Z5" s="6">
        <f>IF([LUCRO] &lt; 0, 0, ROUND([LUCRO]*[NO BOLSO], 2))</f>
        <v>1217.55</v>
      </c>
      <c r="AA5" s="6">
        <f>[LUCRO]-[PROTEÇÃO MÊS]</f>
        <v>304.3900000000001</v>
      </c>
      <c r="AB5" s="6">
        <f>[RENDA FIXA] + [PROTEÇÃO MÊS] - [APORTE RF]</f>
        <v>2135.09</v>
      </c>
      <c r="AC5" s="6">
        <f>[TOT RF] + [REINVESTIR] + [APLICAÇÃO]</f>
        <v>4268.8700000000008</v>
      </c>
      <c r="AD5" s="36">
        <f>IF([RENDA FIXA] &gt; 0, [PROTEÇÃO MÊS] / [RENDA FIXA], 0)</f>
        <v>1.3269721211064367</v>
      </c>
    </row>
    <row r="6" spans="1:30">
      <c r="A6" s="1">
        <v>5</v>
      </c>
      <c r="B6" s="20">
        <v>41122</v>
      </c>
      <c r="C6" s="3">
        <v>2135.09</v>
      </c>
      <c r="D6" s="3"/>
      <c r="E6" s="3"/>
      <c r="F6" s="3">
        <v>2147.89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2568.7800000000002</v>
      </c>
      <c r="J6" s="6">
        <f>TRUNC([APLICAÇÃO]  * SETUP!$A$3, 2)</f>
        <v>0.95</v>
      </c>
      <c r="K6" s="6">
        <f>TRUNC([APLICAÇÃO]  * SETUP!$B$3, 2)</f>
        <v>0.7</v>
      </c>
      <c r="L6" s="6">
        <f>TRUNC([APLICAÇÃO]  * SETUP!$C$3, 2)</f>
        <v>1.78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</v>
      </c>
      <c r="P6" s="6">
        <f>TRUNC([APLICAÇÃO] * 2  * SETUP!$A$3, 2)</f>
        <v>1.9</v>
      </c>
      <c r="Q6" s="6">
        <f>TRUNC([APLICAÇÃO] * 2  * SETUP!$B$3, 2)</f>
        <v>1.41</v>
      </c>
      <c r="R6" s="6">
        <f>TRUNC([APLICAÇÃO] * 2  * SETUP!$C$3, 2)</f>
        <v>3.57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22.65</v>
      </c>
      <c r="V6" s="6">
        <f>((([APLICAÇÃO] * 2) - [TAXA VD]) - ([APLICAÇÃO] + [TAXA CP])) * 0.85</f>
        <v>2147.8905000000004</v>
      </c>
      <c r="W6" s="14">
        <f>[APLICAÇÃO] - (ROUND([RENDA FIXA] * 0.1,2))</f>
        <v>2355.2700000000004</v>
      </c>
      <c r="X6" s="4">
        <f>Tabela1[[#This Row],[PERDA MAX]]/Tabela1[[#This Row],[APLICAÇÃO]]</f>
        <v>0.9168827225375471</v>
      </c>
      <c r="Y6" s="15">
        <f>IF([LUCRO] &lt; ([RENDA FIXA]/2), 0.8, 0.8)</f>
        <v>0.8</v>
      </c>
      <c r="Z6" s="6">
        <f>IF([LUCRO] &lt; 0, 0, ROUND([LUCRO]*[NO BOLSO], 2))</f>
        <v>1718.31</v>
      </c>
      <c r="AA6" s="6">
        <f>[LUCRO]-[PROTEÇÃO MÊS]</f>
        <v>429.57999999999993</v>
      </c>
      <c r="AB6" s="6">
        <f>[RENDA FIXA] + [PROTEÇÃO MÊS] - [APORTE RF]</f>
        <v>3853.4</v>
      </c>
      <c r="AC6" s="6">
        <f>[TOT RF] + [REINVESTIR] + [APLICAÇÃO]</f>
        <v>6851.76</v>
      </c>
      <c r="AD6" s="36">
        <f>IF([RENDA FIXA] &gt; 0, [PROTEÇÃO MÊS] / [RENDA FIXA], 0)</f>
        <v>0.8047951140232964</v>
      </c>
    </row>
    <row r="7" spans="1:30">
      <c r="A7" s="1">
        <v>6</v>
      </c>
      <c r="B7" s="20">
        <v>41153</v>
      </c>
      <c r="C7" s="3">
        <v>3853.4</v>
      </c>
      <c r="D7" s="3"/>
      <c r="E7" s="3"/>
      <c r="F7" s="3">
        <v>2879.83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3433.36</v>
      </c>
      <c r="J7" s="6">
        <f>TRUNC([APLICAÇÃO]  * SETUP!$A$3, 2)</f>
        <v>1.27</v>
      </c>
      <c r="K7" s="6">
        <f>TRUNC([APLICAÇÃO]  * SETUP!$B$3, 2)</f>
        <v>0.94</v>
      </c>
      <c r="L7" s="6">
        <f>TRUNC([APLICAÇÃO]  * SETUP!$C$3, 2)</f>
        <v>2.38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20.36</v>
      </c>
      <c r="P7" s="6">
        <f>TRUNC([APLICAÇÃO] * 2  * SETUP!$A$3, 2)</f>
        <v>2.54</v>
      </c>
      <c r="Q7" s="6">
        <f>TRUNC([APLICAÇÃO] * 2  * SETUP!$B$3, 2)</f>
        <v>1.88</v>
      </c>
      <c r="R7" s="6">
        <f>TRUNC([APLICAÇÃO] * 2  * SETUP!$C$3, 2)</f>
        <v>4.7699999999999996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24.96</v>
      </c>
      <c r="V7" s="6">
        <f>((([APLICAÇÃO] * 2) - [TAXA VD]) - ([APLICAÇÃO] + [TAXA CP])) * 0.85</f>
        <v>2879.8339999999998</v>
      </c>
      <c r="W7" s="14">
        <f>[APLICAÇÃO] - (ROUND([RENDA FIXA] * 0.1,2))</f>
        <v>3048.02</v>
      </c>
      <c r="X7" s="4">
        <f>Tabela1[[#This Row],[PERDA MAX]]/Tabela1[[#This Row],[APLICAÇÃO]]</f>
        <v>0.88776592026469692</v>
      </c>
      <c r="Y7" s="15">
        <f>IF([LUCRO] &lt; ([RENDA FIXA]/2), 0.8, 0.8)</f>
        <v>0.8</v>
      </c>
      <c r="Z7" s="6">
        <f>IF([LUCRO] &lt; 0, 0, ROUND([LUCRO]*[NO BOLSO], 2))</f>
        <v>2303.86</v>
      </c>
      <c r="AA7" s="6">
        <f>[LUCRO]-[PROTEÇÃO MÊS]</f>
        <v>575.9699999999998</v>
      </c>
      <c r="AB7" s="6">
        <f>[RENDA FIXA] + [PROTEÇÃO MÊS] - [APORTE RF]</f>
        <v>6157.26</v>
      </c>
      <c r="AC7" s="6">
        <f>[TOT RF] + [REINVESTIR] + [APLICAÇÃO]</f>
        <v>10166.59</v>
      </c>
      <c r="AD7" s="36">
        <f>IF([RENDA FIXA] &gt; 0, [PROTEÇÃO MÊS] / [RENDA FIXA], 0)</f>
        <v>0.59787719935641259</v>
      </c>
    </row>
    <row r="8" spans="1:30">
      <c r="A8" s="1">
        <v>7</v>
      </c>
      <c r="B8" s="20">
        <v>41183</v>
      </c>
      <c r="C8" s="3">
        <v>6157.26</v>
      </c>
      <c r="D8" s="3"/>
      <c r="E8" s="3"/>
      <c r="F8" s="3">
        <v>3735.72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4444.33</v>
      </c>
      <c r="J8" s="6">
        <f>TRUNC([APLICAÇÃO]  * SETUP!$A$3, 2)</f>
        <v>1.64</v>
      </c>
      <c r="K8" s="6">
        <f>TRUNC([APLICAÇÃO]  * SETUP!$B$3, 2)</f>
        <v>1.22</v>
      </c>
      <c r="L8" s="6">
        <f>TRUNC([APLICAÇÃO]  * SETUP!$C$3, 2)</f>
        <v>3.08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21.71</v>
      </c>
      <c r="P8" s="6">
        <f>TRUNC([APLICAÇÃO] * 2  * SETUP!$A$3, 2)</f>
        <v>3.28</v>
      </c>
      <c r="Q8" s="6">
        <f>TRUNC([APLICAÇÃO] * 2  * SETUP!$B$3, 2)</f>
        <v>2.44</v>
      </c>
      <c r="R8" s="6">
        <f>TRUNC([APLICAÇÃO] * 2  * SETUP!$C$3, 2)</f>
        <v>6.17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27.66</v>
      </c>
      <c r="V8" s="6">
        <f>((([APLICAÇÃO] * 2) - [TAXA VD]) - ([APLICAÇÃO] + [TAXA CP])) * 0.85</f>
        <v>3735.7159999999999</v>
      </c>
      <c r="W8" s="14">
        <f>[APLICAÇÃO] - (ROUND([RENDA FIXA] * 0.1,2))</f>
        <v>3828.6</v>
      </c>
      <c r="X8" s="4">
        <f>Tabela1[[#This Row],[PERDA MAX]]/Tabela1[[#This Row],[APLICAÇÃO]]</f>
        <v>0.86145718252244996</v>
      </c>
      <c r="Y8" s="15">
        <f>IF([LUCRO] &lt; ([RENDA FIXA]/2), 0.8, 0.8)</f>
        <v>0.8</v>
      </c>
      <c r="Z8" s="6">
        <f>IF([LUCRO] &lt; 0, 0, ROUND([LUCRO]*[NO BOLSO], 2))</f>
        <v>2988.58</v>
      </c>
      <c r="AA8" s="6">
        <f>[LUCRO]-[PROTEÇÃO MÊS]</f>
        <v>747.13999999999987</v>
      </c>
      <c r="AB8" s="6">
        <f>[RENDA FIXA] + [PROTEÇÃO MÊS] - [APORTE RF]</f>
        <v>9145.84</v>
      </c>
      <c r="AC8" s="6">
        <f>[TOT RF] + [REINVESTIR] + [APLICAÇÃO]</f>
        <v>14337.31</v>
      </c>
      <c r="AD8" s="36">
        <f>IF([RENDA FIXA] &gt; 0, [PROTEÇÃO MÊS] / [RENDA FIXA], 0)</f>
        <v>0.48537498822528202</v>
      </c>
    </row>
    <row r="9" spans="1:30">
      <c r="A9" s="1">
        <v>8</v>
      </c>
      <c r="B9" s="20">
        <v>41214</v>
      </c>
      <c r="C9" s="3">
        <v>9145.84</v>
      </c>
      <c r="D9" s="3"/>
      <c r="E9" s="3"/>
      <c r="F9" s="3">
        <v>4736.4799999999996</v>
      </c>
      <c r="G9" s="6">
        <f>435</f>
        <v>435</v>
      </c>
      <c r="H9" s="6">
        <f>SUMPRODUCT(N([TRADE] &lt;= Tabela1[[#This Row],[TRADE]]), [APORTE]) + SUMPRODUCT(N([TRADE] &lt;= Tabela1[[#This Row],[TRADE]]), [APORTE RF])</f>
        <v>3340</v>
      </c>
      <c r="I9" s="6">
        <f>[MONTANTE] - SUMPRODUCT(N([TRADE] &lt;= Tabela1[[#This Row],[TRADE]]), [SAQUE]) + SUMPRODUCT(N([TRADE] &lt; Tabela1[[#This Row],[TRADE]]), [REINVESTIR])</f>
        <v>5626.4699999999993</v>
      </c>
      <c r="J9" s="6">
        <f>TRUNC([APLICAÇÃO]  * SETUP!$A$3, 2)</f>
        <v>2.08</v>
      </c>
      <c r="K9" s="6">
        <f>TRUNC([APLICAÇÃO]  * SETUP!$B$3, 2)</f>
        <v>1.54</v>
      </c>
      <c r="L9" s="6">
        <f>TRUNC([APLICAÇÃO]  * SETUP!$C$3, 2)</f>
        <v>3.91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23.3</v>
      </c>
      <c r="P9" s="6">
        <f>TRUNC([APLICAÇÃO] * 2  * SETUP!$A$3, 2)</f>
        <v>4.16</v>
      </c>
      <c r="Q9" s="6">
        <f>TRUNC([APLICAÇÃO] * 2  * SETUP!$B$3, 2)</f>
        <v>3.09</v>
      </c>
      <c r="R9" s="6">
        <f>TRUNC([APLICAÇÃO] * 2  * SETUP!$C$3, 2)</f>
        <v>7.82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30.84</v>
      </c>
      <c r="V9" s="6">
        <f>((([APLICAÇÃO] * 2) - [TAXA VD]) - ([APLICAÇÃO] + [TAXA CP])) * 0.85</f>
        <v>4736.4804999999988</v>
      </c>
      <c r="W9" s="14">
        <f>[APLICAÇÃO] - (ROUND([RENDA FIXA] * 0.1,2))</f>
        <v>4711.8899999999994</v>
      </c>
      <c r="X9" s="4">
        <f>Tabela1[[#This Row],[PERDA MAX]]/Tabela1[[#This Row],[APLICAÇÃO]]</f>
        <v>0.83745047960799579</v>
      </c>
      <c r="Y9" s="15">
        <f>IF([LUCRO] &lt; ([RENDA FIXA]/2), 0.8, 0.8)</f>
        <v>0.8</v>
      </c>
      <c r="Z9" s="6">
        <f>IF([LUCRO] &lt; 0, 0, ROUND([LUCRO]*[NO BOLSO], 2))</f>
        <v>3789.18</v>
      </c>
      <c r="AA9" s="6">
        <f>[LUCRO]-[PROTEÇÃO MÊS]</f>
        <v>947.29999999999973</v>
      </c>
      <c r="AB9" s="6">
        <f>[RENDA FIXA] + [PROTEÇÃO MÊS] - [APORTE RF]</f>
        <v>12935.02</v>
      </c>
      <c r="AC9" s="6">
        <f>[TOT RF] + [REINVESTIR] + [APLICAÇÃO]</f>
        <v>19508.79</v>
      </c>
      <c r="AD9" s="36">
        <f>IF([RENDA FIXA] &gt; 0, [PROTEÇÃO MÊS] / [RENDA FIXA], 0)</f>
        <v>0.4143063950386186</v>
      </c>
    </row>
    <row r="10" spans="1:30">
      <c r="A10" s="1">
        <v>9</v>
      </c>
      <c r="B10" s="20">
        <v>41244</v>
      </c>
      <c r="C10" s="3">
        <v>12935.02</v>
      </c>
      <c r="D10" s="3"/>
      <c r="E10" s="3"/>
      <c r="F10" s="3">
        <v>5906.72</v>
      </c>
      <c r="G10" s="6">
        <f>435</f>
        <v>435</v>
      </c>
      <c r="H10" s="6">
        <f>SUMPRODUCT(N([TRADE] &lt;= Tabela1[[#This Row],[TRADE]]), [APORTE]) + SUMPRODUCT(N([TRADE] &lt;= Tabela1[[#This Row],[TRADE]]), [APORTE RF])</f>
        <v>3775</v>
      </c>
      <c r="I10" s="6">
        <f>[MONTANTE] - SUMPRODUCT(N([TRADE] &lt;= Tabela1[[#This Row],[TRADE]]), [SAQUE]) + SUMPRODUCT(N([TRADE] &lt; Tabela1[[#This Row],[TRADE]]), [REINVESTIR])</f>
        <v>7008.7699999999995</v>
      </c>
      <c r="J10" s="6">
        <f>TRUNC([APLICAÇÃO]  * SETUP!$A$3, 2)</f>
        <v>2.59</v>
      </c>
      <c r="K10" s="6">
        <f>TRUNC([APLICAÇÃO]  * SETUP!$B$3, 2)</f>
        <v>1.92</v>
      </c>
      <c r="L10" s="6">
        <f>TRUNC([APLICAÇÃO]  * SETUP!$C$3, 2)</f>
        <v>4.87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25.15</v>
      </c>
      <c r="P10" s="6">
        <f>TRUNC([APLICAÇÃO] * 2  * SETUP!$A$3, 2)</f>
        <v>5.18</v>
      </c>
      <c r="Q10" s="6">
        <f>TRUNC([APLICAÇÃO] * 2  * SETUP!$B$3, 2)</f>
        <v>3.85</v>
      </c>
      <c r="R10" s="6">
        <f>TRUNC([APLICAÇÃO] * 2  * SETUP!$C$3, 2)</f>
        <v>9.74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34.54</v>
      </c>
      <c r="V10" s="6">
        <f>((([APLICAÇÃO] * 2) - [TAXA VD]) - ([APLICAÇÃO] + [TAXA CP])) * 0.85</f>
        <v>5906.7179999999989</v>
      </c>
      <c r="W10" s="14">
        <f>[APLICAÇÃO] - (ROUND([RENDA FIXA] * 0.1,2))</f>
        <v>5715.2699999999995</v>
      </c>
      <c r="X10" s="4">
        <f>Tabela1[[#This Row],[PERDA MAX]]/Tabela1[[#This Row],[APLICAÇÃO]]</f>
        <v>0.81544550613017686</v>
      </c>
      <c r="Y10" s="15">
        <f>IF([LUCRO] &lt; ([RENDA FIXA]/2), 0.8, 0.8)</f>
        <v>0.8</v>
      </c>
      <c r="Z10" s="6">
        <f>IF([LUCRO] &lt; 0, 0, ROUND([LUCRO]*[NO BOLSO], 2))</f>
        <v>4725.38</v>
      </c>
      <c r="AA10" s="6">
        <f>[LUCRO]-[PROTEÇÃO MÊS]</f>
        <v>1181.3400000000001</v>
      </c>
      <c r="AB10" s="6">
        <f>[RENDA FIXA] + [PROTEÇÃO MÊS] - [APORTE RF]</f>
        <v>17660.400000000001</v>
      </c>
      <c r="AC10" s="6">
        <f>[TOT RF] + [REINVESTIR] + [APLICAÇÃO]</f>
        <v>25850.510000000002</v>
      </c>
      <c r="AD10" s="36">
        <f>IF([RENDA FIXA] &gt; 0, [PROTEÇÃO MÊS] / [RENDA FIXA], 0)</f>
        <v>0.3653167911607404</v>
      </c>
    </row>
    <row r="11" spans="1:30">
      <c r="A11" s="1">
        <v>10</v>
      </c>
      <c r="B11" s="20">
        <v>41275</v>
      </c>
      <c r="C11" s="3">
        <v>17660.400000000001</v>
      </c>
      <c r="D11" s="3"/>
      <c r="E11" s="3"/>
      <c r="F11" s="3">
        <v>7275.08</v>
      </c>
      <c r="G11" s="6">
        <f>435</f>
        <v>435</v>
      </c>
      <c r="H11" s="6">
        <f>SUMPRODUCT(N([TRADE] &lt;= Tabela1[[#This Row],[TRADE]]), [APORTE]) + SUMPRODUCT(N([TRADE] &lt;= Tabela1[[#This Row],[TRADE]]), [APORTE RF])</f>
        <v>4210</v>
      </c>
      <c r="I11" s="6">
        <f>[MONTANTE] - SUMPRODUCT(N([TRADE] &lt;= Tabela1[[#This Row],[TRADE]]), [SAQUE]) + SUMPRODUCT(N([TRADE] &lt; Tabela1[[#This Row],[TRADE]]), [REINVESTIR])</f>
        <v>8625.11</v>
      </c>
      <c r="J11" s="6">
        <f>TRUNC([APLICAÇÃO]  * SETUP!$A$3, 2)</f>
        <v>3.19</v>
      </c>
      <c r="K11" s="6">
        <f>TRUNC([APLICAÇÃO]  * SETUP!$B$3, 2)</f>
        <v>2.37</v>
      </c>
      <c r="L11" s="6">
        <f>TRUNC([APLICAÇÃO]  * SETUP!$C$3, 2)</f>
        <v>5.99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27.32</v>
      </c>
      <c r="P11" s="6">
        <f>TRUNC([APLICAÇÃO] * 2  * SETUP!$A$3, 2)</f>
        <v>6.38</v>
      </c>
      <c r="Q11" s="6">
        <f>TRUNC([APLICAÇÃO] * 2  * SETUP!$B$3, 2)</f>
        <v>4.74</v>
      </c>
      <c r="R11" s="6">
        <f>TRUNC([APLICAÇÃO] * 2  * SETUP!$C$3, 2)</f>
        <v>11.98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38.869999999999997</v>
      </c>
      <c r="V11" s="6">
        <f>((([APLICAÇÃO] * 2) - [TAXA VD]) - ([APLICAÇÃO] + [TAXA CP])) * 0.85</f>
        <v>7275.0820000000012</v>
      </c>
      <c r="W11" s="14">
        <f>[APLICAÇÃO] - (ROUND([RENDA FIXA] * 0.1,2))</f>
        <v>6859.0700000000006</v>
      </c>
      <c r="X11" s="4">
        <f>Tabela1[[#This Row],[PERDA MAX]]/Tabela1[[#This Row],[APLICAÇÃO]]</f>
        <v>0.79524435050683417</v>
      </c>
      <c r="Y11" s="15">
        <f>IF([LUCRO] &lt; ([RENDA FIXA]/2), 0.8, 0.8)</f>
        <v>0.8</v>
      </c>
      <c r="Z11" s="6">
        <f>IF([LUCRO] &lt; 0, 0, ROUND([LUCRO]*[NO BOLSO], 2))</f>
        <v>5820.06</v>
      </c>
      <c r="AA11" s="6">
        <f>[LUCRO]-[PROTEÇÃO MÊS]</f>
        <v>1455.0199999999995</v>
      </c>
      <c r="AB11" s="6">
        <f>[RENDA FIXA] + [PROTEÇÃO MÊS] - [APORTE RF]</f>
        <v>23480.460000000003</v>
      </c>
      <c r="AC11" s="6">
        <f>[TOT RF] + [REINVESTIR] + [APLICAÇÃO]</f>
        <v>33560.590000000004</v>
      </c>
      <c r="AD11" s="4">
        <f>IF([RENDA FIXA] &gt; 0, [PROTEÇÃO MÊS] / [RENDA FIXA], 0)</f>
        <v>0.3295542569817218</v>
      </c>
    </row>
    <row r="12" spans="1:30">
      <c r="A12" s="1">
        <v>11</v>
      </c>
      <c r="B12" s="20">
        <v>41306</v>
      </c>
      <c r="C12" s="3">
        <v>23480.46</v>
      </c>
      <c r="D12" s="3"/>
      <c r="E12" s="3"/>
      <c r="F12" s="3">
        <v>8875.14</v>
      </c>
      <c r="G12" s="6">
        <f>435</f>
        <v>435</v>
      </c>
      <c r="H12" s="6">
        <f>SUMPRODUCT(N([TRADE] &lt;= Tabela1[[#This Row],[TRADE]]), [APORTE]) + SUMPRODUCT(N([TRADE] &lt;= Tabela1[[#This Row],[TRADE]]), [APORTE RF])</f>
        <v>4645</v>
      </c>
      <c r="I12" s="6">
        <f>[MONTANTE] - SUMPRODUCT(N([TRADE] &lt;= Tabela1[[#This Row],[TRADE]]), [SAQUE]) + SUMPRODUCT(N([TRADE] &lt; Tabela1[[#This Row],[TRADE]]), [REINVESTIR])</f>
        <v>10515.13</v>
      </c>
      <c r="J12" s="6">
        <f>TRUNC([APLICAÇÃO]  * SETUP!$A$3, 2)</f>
        <v>3.89</v>
      </c>
      <c r="K12" s="6">
        <f>TRUNC([APLICAÇÃO]  * SETUP!$B$3, 2)</f>
        <v>2.89</v>
      </c>
      <c r="L12" s="6">
        <f>TRUNC([APLICAÇÃO]  * SETUP!$C$3, 2)</f>
        <v>7.3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29.85</v>
      </c>
      <c r="P12" s="6">
        <f>TRUNC([APLICAÇÃO] * 2  * SETUP!$A$3, 2)</f>
        <v>7.78</v>
      </c>
      <c r="Q12" s="6">
        <f>TRUNC([APLICAÇÃO] * 2  * SETUP!$B$3, 2)</f>
        <v>5.78</v>
      </c>
      <c r="R12" s="6">
        <f>TRUNC([APLICAÇÃO] * 2  * SETUP!$C$3, 2)</f>
        <v>14.61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43.94</v>
      </c>
      <c r="V12" s="6">
        <f>((([APLICAÇÃO] * 2) - [TAXA VD]) - ([APLICAÇÃO] + [TAXA CP])) * 0.85</f>
        <v>8875.1389999999992</v>
      </c>
      <c r="W12" s="14">
        <f>[APLICAÇÃO] - (ROUND([RENDA FIXA] * 0.1,2))</f>
        <v>8167.079999999999</v>
      </c>
      <c r="X12" s="4">
        <f>Tabela1[[#This Row],[PERDA MAX]]/Tabela1[[#This Row],[APLICAÇÃO]]</f>
        <v>0.77669795808515918</v>
      </c>
      <c r="Y12" s="15">
        <f>IF([LUCRO] &lt; ([RENDA FIXA]/2), 0.8, 0.8)</f>
        <v>0.8</v>
      </c>
      <c r="Z12" s="6">
        <f>IF([LUCRO] &lt; 0, 0, ROUND([LUCRO]*[NO BOLSO], 2))</f>
        <v>7100.11</v>
      </c>
      <c r="AA12" s="6">
        <f>[LUCRO]-[PROTEÇÃO MÊS]</f>
        <v>1775.0299999999997</v>
      </c>
      <c r="AB12" s="6">
        <f>[RENDA FIXA] + [PROTEÇÃO MÊS] - [APORTE RF]</f>
        <v>30580.57</v>
      </c>
      <c r="AC12" s="6">
        <f>[TOT RF] + [REINVESTIR] + [APLICAÇÃO]</f>
        <v>42870.729999999996</v>
      </c>
      <c r="AD12" s="4">
        <f>IF([RENDA FIXA] &gt; 0, [PROTEÇÃO MÊS] / [RENDA FIXA], 0)</f>
        <v>0.30238376931286698</v>
      </c>
    </row>
    <row r="13" spans="1:30">
      <c r="A13" s="1">
        <v>12</v>
      </c>
      <c r="B13" s="20">
        <v>41334</v>
      </c>
      <c r="C13" s="3">
        <v>30580.57</v>
      </c>
      <c r="D13" s="3"/>
      <c r="E13" s="3"/>
      <c r="F13" s="3">
        <v>10970.47</v>
      </c>
      <c r="G13" s="6">
        <v>700</v>
      </c>
      <c r="H13" s="6">
        <f>SUMPRODUCT(N([TRADE] &lt;= Tabela1[[#This Row],[TRADE]]), [APORTE]) + SUMPRODUCT(N([TRADE] &lt;= Tabela1[[#This Row],[TRADE]]), [APORTE RF])</f>
        <v>5345</v>
      </c>
      <c r="I13" s="6">
        <f>[MONTANTE] - SUMPRODUCT(N([TRADE] &lt;= Tabela1[[#This Row],[TRADE]]), [SAQUE]) + SUMPRODUCT(N([TRADE] &lt; Tabela1[[#This Row],[TRADE]]), [REINVESTIR])</f>
        <v>12990.16</v>
      </c>
      <c r="J13" s="6">
        <f>TRUNC([APLICAÇÃO]  * SETUP!$A$3, 2)</f>
        <v>4.8</v>
      </c>
      <c r="K13" s="6">
        <f>TRUNC([APLICAÇÃO]  * SETUP!$B$3, 2)</f>
        <v>3.57</v>
      </c>
      <c r="L13" s="6">
        <f>TRUNC([APLICAÇÃO]  * SETUP!$C$3, 2)</f>
        <v>9.02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33.159999999999997</v>
      </c>
      <c r="P13" s="6">
        <f>TRUNC([APLICAÇÃO] * 2  * SETUP!$A$3, 2)</f>
        <v>9.61</v>
      </c>
      <c r="Q13" s="6">
        <f>TRUNC([APLICAÇÃO] * 2  * SETUP!$B$3, 2)</f>
        <v>7.14</v>
      </c>
      <c r="R13" s="6">
        <f>TRUNC([APLICAÇÃO] * 2  * SETUP!$C$3, 2)</f>
        <v>18.05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50.569999999999993</v>
      </c>
      <c r="V13" s="6">
        <f>((([APLICAÇÃO] * 2) - [TAXA VD]) - ([APLICAÇÃO] + [TAXA CP])) * 0.85</f>
        <v>10970.4655</v>
      </c>
      <c r="W13" s="14">
        <f>[APLICAÇÃO] - (ROUND([RENDA FIXA] * 0.1,2))</f>
        <v>9932.1</v>
      </c>
      <c r="X13" s="4">
        <f>Tabela1[[#This Row],[PERDA MAX]]/Tabela1[[#This Row],[APLICAÇÃO]]</f>
        <v>0.76458642541739286</v>
      </c>
      <c r="Y13" s="15">
        <f>IF([LUCRO] &lt; ([RENDA FIXA]/2), 0.8, 0.8)</f>
        <v>0.8</v>
      </c>
      <c r="Z13" s="6">
        <f>IF([LUCRO] &lt; 0, 0, ROUND([LUCRO]*[NO BOLSO], 2))</f>
        <v>8776.3799999999992</v>
      </c>
      <c r="AA13" s="6">
        <f>[LUCRO]-[PROTEÇÃO MÊS]</f>
        <v>2194.09</v>
      </c>
      <c r="AB13" s="6">
        <f>[RENDA FIXA] + [PROTEÇÃO MÊS] - [APORTE RF]</f>
        <v>39356.949999999997</v>
      </c>
      <c r="AC13" s="6">
        <f>[TOT RF] + [REINVESTIR] + [APLICAÇÃO]</f>
        <v>54541.2</v>
      </c>
      <c r="AD13" s="4">
        <f>IF([RENDA FIXA] &gt; 0, [PROTEÇÃO MÊS] / [RENDA FIXA], 0)</f>
        <v>0.28699203448464172</v>
      </c>
    </row>
    <row r="14" spans="1:30">
      <c r="A14" s="1">
        <v>13</v>
      </c>
      <c r="B14" s="20">
        <v>41365</v>
      </c>
      <c r="C14" s="3">
        <v>39356.949999999997</v>
      </c>
      <c r="D14" s="3"/>
      <c r="E14" s="3"/>
      <c r="F14" s="3">
        <v>13420.57</v>
      </c>
      <c r="G14" s="6">
        <v>700</v>
      </c>
      <c r="H14" s="6">
        <f>SUMPRODUCT(N([TRADE] &lt;= Tabela1[[#This Row],[TRADE]]), [APORTE]) + SUMPRODUCT(N([TRADE] &lt;= Tabela1[[#This Row],[TRADE]]), [APORTE RF])</f>
        <v>6045</v>
      </c>
      <c r="I14" s="6">
        <f>[MONTANTE] - SUMPRODUCT(N([TRADE] &lt;= Tabela1[[#This Row],[TRADE]]), [SAQUE]) + SUMPRODUCT(N([TRADE] &lt; Tabela1[[#This Row],[TRADE]]), [REINVESTIR])</f>
        <v>15884.25</v>
      </c>
      <c r="J14" s="6">
        <f>TRUNC([APLICAÇÃO]  * SETUP!$A$3, 2)</f>
        <v>5.87</v>
      </c>
      <c r="K14" s="6">
        <f>TRUNC([APLICAÇÃO]  * SETUP!$B$3, 2)</f>
        <v>4.3600000000000003</v>
      </c>
      <c r="L14" s="6">
        <f>TRUNC([APLICAÇÃO]  * SETUP!$C$3, 2)</f>
        <v>11.03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37.029999999999994</v>
      </c>
      <c r="P14" s="6">
        <f>TRUNC([APLICAÇÃO] * 2  * SETUP!$A$3, 2)</f>
        <v>11.75</v>
      </c>
      <c r="Q14" s="6">
        <f>TRUNC([APLICAÇÃO] * 2  * SETUP!$B$3, 2)</f>
        <v>8.73</v>
      </c>
      <c r="R14" s="6">
        <f>TRUNC([APLICAÇÃO] * 2  * SETUP!$C$3, 2)</f>
        <v>22.07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58.319999999999993</v>
      </c>
      <c r="V14" s="6">
        <f>((([APLICAÇÃO] * 2) - [TAXA VD]) - ([APLICAÇÃO] + [TAXA CP])) * 0.85</f>
        <v>13420.564999999999</v>
      </c>
      <c r="W14" s="14">
        <f>[APLICAÇÃO] - (ROUND([RENDA FIXA] * 0.1,2))</f>
        <v>11948.55</v>
      </c>
      <c r="X14" s="4">
        <f>Tabela1[[#This Row],[PERDA MAX]]/Tabela1[[#This Row],[APLICAÇÃO]]</f>
        <v>0.75222626186316632</v>
      </c>
      <c r="Y14" s="15">
        <f>IF([LUCRO] &lt; ([RENDA FIXA]/2), 0.8, 0.8)</f>
        <v>0.8</v>
      </c>
      <c r="Z14" s="6">
        <f>IF([LUCRO] &lt; 0, 0, ROUND([LUCRO]*[NO BOLSO], 2))</f>
        <v>10736.46</v>
      </c>
      <c r="AA14" s="6">
        <f>[LUCRO]-[PROTEÇÃO MÊS]</f>
        <v>2684.1100000000006</v>
      </c>
      <c r="AB14" s="6">
        <f>[RENDA FIXA] + [PROTEÇÃO MÊS] - [APORTE RF]</f>
        <v>50093.409999999996</v>
      </c>
      <c r="AC14" s="6">
        <f>[TOT RF] + [REINVESTIR] + [APLICAÇÃO]</f>
        <v>68661.76999999999</v>
      </c>
      <c r="AD14" s="4">
        <f>IF([RENDA FIXA] &gt; 0, [PROTEÇÃO MÊS] / [RENDA FIXA], 0)</f>
        <v>0.27279705363347517</v>
      </c>
    </row>
    <row r="15" spans="1:30">
      <c r="A15" s="1">
        <v>14</v>
      </c>
      <c r="B15" s="20">
        <v>41395</v>
      </c>
      <c r="C15" s="3">
        <v>50093.41</v>
      </c>
      <c r="D15" s="3"/>
      <c r="E15" s="3"/>
      <c r="F15" s="3">
        <v>16285.49</v>
      </c>
      <c r="G15" s="6">
        <v>700</v>
      </c>
      <c r="H15" s="6">
        <f>SUMPRODUCT(N([TRADE] &lt;= Tabela1[[#This Row],[TRADE]]), [APORTE]) + SUMPRODUCT(N([TRADE] &lt;= Tabela1[[#This Row],[TRADE]]), [APORTE RF])</f>
        <v>6745</v>
      </c>
      <c r="I15" s="6">
        <f>[MONTANTE] - SUMPRODUCT(N([TRADE] &lt;= Tabela1[[#This Row],[TRADE]]), [SAQUE]) + SUMPRODUCT(N([TRADE] &lt; Tabela1[[#This Row],[TRADE]]), [REINVESTIR])</f>
        <v>19268.36</v>
      </c>
      <c r="J15" s="6">
        <f>TRUNC([APLICAÇÃO]  * SETUP!$A$3, 2)</f>
        <v>7.12</v>
      </c>
      <c r="K15" s="6">
        <f>TRUNC([APLICAÇÃO]  * SETUP!$B$3, 2)</f>
        <v>5.29</v>
      </c>
      <c r="L15" s="6">
        <f>TRUNC([APLICAÇÃO]  * SETUP!$C$3, 2)</f>
        <v>13.39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41.57</v>
      </c>
      <c r="P15" s="6">
        <f>TRUNC([APLICAÇÃO] * 2  * SETUP!$A$3, 2)</f>
        <v>14.25</v>
      </c>
      <c r="Q15" s="6">
        <f>TRUNC([APLICAÇÃO] * 2  * SETUP!$B$3, 2)</f>
        <v>10.59</v>
      </c>
      <c r="R15" s="6">
        <f>TRUNC([APLICAÇÃO] * 2  * SETUP!$C$3, 2)</f>
        <v>26.78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67.39</v>
      </c>
      <c r="V15" s="6">
        <f>((([APLICAÇÃO] * 2) - [TAXA VD]) - ([APLICAÇÃO] + [TAXA CP])) * 0.85</f>
        <v>16285.490000000002</v>
      </c>
      <c r="W15" s="14">
        <f>[APLICAÇÃO] - (ROUND([RENDA FIXA] * 0.1,2))</f>
        <v>14259.02</v>
      </c>
      <c r="X15" s="4">
        <f>Tabela1[[#This Row],[PERDA MAX]]/Tabela1[[#This Row],[APLICAÇÃO]]</f>
        <v>0.74002250321252039</v>
      </c>
      <c r="Y15" s="15">
        <f>IF([LUCRO] &lt; ([RENDA FIXA]/2), 0.8, 0.8)</f>
        <v>0.8</v>
      </c>
      <c r="Z15" s="6">
        <f>IF([LUCRO] &lt; 0, 0, ROUND([LUCRO]*[NO BOLSO], 2))</f>
        <v>13028.39</v>
      </c>
      <c r="AA15" s="6">
        <f>[LUCRO]-[PROTEÇÃO MÊS]</f>
        <v>3257.1000000000004</v>
      </c>
      <c r="AB15" s="6">
        <f>[RENDA FIXA] + [PROTEÇÃO MÊS] - [APORTE RF]</f>
        <v>63121.8</v>
      </c>
      <c r="AC15" s="6">
        <f>[TOT RF] + [REINVESTIR] + [APLICAÇÃO]</f>
        <v>85647.260000000009</v>
      </c>
      <c r="AD15" s="4">
        <f>IF([RENDA FIXA] &gt; 0, [PROTEÇÃO MÊS] / [RENDA FIXA], 0)</f>
        <v>0.2600819149664596</v>
      </c>
    </row>
    <row r="16" spans="1:30">
      <c r="A16" s="1">
        <v>15</v>
      </c>
      <c r="B16" s="20">
        <v>41426</v>
      </c>
      <c r="C16" s="21">
        <v>63121.8</v>
      </c>
      <c r="D16" s="21"/>
      <c r="E16" s="21"/>
      <c r="F16" s="21">
        <v>19635.490000000002</v>
      </c>
      <c r="G16" s="6">
        <v>700</v>
      </c>
      <c r="H16" s="22">
        <f>SUMPRODUCT(N([TRADE] &lt;= Tabela1[[#This Row],[TRADE]]), [APORTE]) + SUMPRODUCT(N([TRADE] &lt;= Tabela1[[#This Row],[TRADE]]), [APORTE RF])</f>
        <v>7445</v>
      </c>
      <c r="I16" s="22">
        <f>[MONTANTE] - SUMPRODUCT(N([TRADE] &lt;= Tabela1[[#This Row],[TRADE]]), [SAQUE]) + SUMPRODUCT(N([TRADE] &lt; Tabela1[[#This Row],[TRADE]]), [REINVESTIR])</f>
        <v>23225.46</v>
      </c>
      <c r="J16" s="22">
        <f>TRUNC([APLICAÇÃO]  * SETUP!$A$3, 2)</f>
        <v>8.59</v>
      </c>
      <c r="K16" s="22">
        <f>TRUNC([APLICAÇÃO]  * SETUP!$B$3, 2)</f>
        <v>6.38</v>
      </c>
      <c r="L16" s="22">
        <f>TRUNC([APLICAÇÃO]  * SETUP!$C$3, 2)</f>
        <v>16.14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SUM(Tabela1[[#This Row],[EMOL CP]]:Tabela1[[#This Row],[OUTRAS CP]])</f>
        <v>46.879999999999995</v>
      </c>
      <c r="P16" s="22">
        <f>TRUNC([APLICAÇÃO] * 2  * SETUP!$A$3, 2)</f>
        <v>17.18</v>
      </c>
      <c r="Q16" s="22">
        <f>TRUNC([APLICAÇÃO] * 2  * SETUP!$B$3, 2)</f>
        <v>12.77</v>
      </c>
      <c r="R16" s="22">
        <f>TRUNC([APLICAÇÃO] * 2  * SETUP!$C$3, 2)</f>
        <v>32.28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SUM(Tabela1[[#This Row],[EMOL VD]]:Tabela1[[#This Row],[OUTRAS VD]])</f>
        <v>78</v>
      </c>
      <c r="V16" s="22">
        <f>((([APLICAÇÃO] * 2) - [TAXA VD]) - ([APLICAÇÃO] + [TAXA CP])) * 0.85</f>
        <v>19635.492999999999</v>
      </c>
      <c r="W16" s="23">
        <f>[APLICAÇÃO] - (ROUND([RENDA FIXA] * 0.1,2))</f>
        <v>16913.28</v>
      </c>
      <c r="X16" s="24">
        <f>Tabela1[[#This Row],[PERDA MAX]]/Tabela1[[#This Row],[APLICAÇÃO]]</f>
        <v>0.72822152930447881</v>
      </c>
      <c r="Y16" s="25">
        <f>IF([LUCRO] &lt; ([RENDA FIXA]/2), 0.8, 0.8)</f>
        <v>0.8</v>
      </c>
      <c r="Z16" s="22">
        <f>IF([LUCRO] &lt; 0, 0, ROUND([LUCRO]*[NO BOLSO], 2))</f>
        <v>15708.39</v>
      </c>
      <c r="AA16" s="22">
        <f>[LUCRO]-[PROTEÇÃO MÊS]</f>
        <v>3927.1000000000022</v>
      </c>
      <c r="AB16" s="22">
        <f>[RENDA FIXA] + [PROTEÇÃO MÊS] - [APORTE RF]</f>
        <v>78830.19</v>
      </c>
      <c r="AC16" s="22">
        <f>[TOT RF] + [REINVESTIR] + [APLICAÇÃO]</f>
        <v>105982.75</v>
      </c>
      <c r="AD16" s="24">
        <f>IF([RENDA FIXA] &gt; 0, [PROTEÇÃO MÊS] / [RENDA FIXA], 0)</f>
        <v>0.24885839757421363</v>
      </c>
    </row>
    <row r="17" spans="1:30">
      <c r="A17" s="1">
        <v>16</v>
      </c>
      <c r="B17" s="20">
        <v>41456</v>
      </c>
      <c r="C17" s="3">
        <v>78830.19</v>
      </c>
      <c r="D17" s="3"/>
      <c r="E17" s="3"/>
      <c r="F17" s="3">
        <v>23552.73</v>
      </c>
      <c r="G17" s="6">
        <v>700</v>
      </c>
      <c r="H17" s="6">
        <f>SUMPRODUCT(N([TRADE] &lt;= Tabela1[[#This Row],[TRADE]]), [APORTE]) + SUMPRODUCT(N([TRADE] &lt;= Tabela1[[#This Row],[TRADE]]), [APORTE RF])</f>
        <v>8145</v>
      </c>
      <c r="I17" s="6">
        <f>[MONTANTE] - SUMPRODUCT(N([TRADE] &lt;= Tabela1[[#This Row],[TRADE]]), [SAQUE]) + SUMPRODUCT(N([TRADE] &lt; Tabela1[[#This Row],[TRADE]]), [REINVESTIR])</f>
        <v>27852.560000000005</v>
      </c>
      <c r="J17" s="6">
        <f>TRUNC([APLICAÇÃO]  * SETUP!$A$3, 2)</f>
        <v>10.3</v>
      </c>
      <c r="K17" s="6">
        <f>TRUNC([APLICAÇÃO]  * SETUP!$B$3, 2)</f>
        <v>7.65</v>
      </c>
      <c r="L17" s="6">
        <f>TRUNC([APLICAÇÃO]  * SETUP!$C$3, 2)</f>
        <v>19.350000000000001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53.07</v>
      </c>
      <c r="P17" s="6">
        <f>TRUNC([APLICAÇÃO] * 2  * SETUP!$A$3, 2)</f>
        <v>20.61</v>
      </c>
      <c r="Q17" s="6">
        <f>TRUNC([APLICAÇÃO] * 2  * SETUP!$B$3, 2)</f>
        <v>15.31</v>
      </c>
      <c r="R17" s="6">
        <f>TRUNC([APLICAÇÃO] * 2  * SETUP!$C$3, 2)</f>
        <v>38.71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90.4</v>
      </c>
      <c r="V17" s="6">
        <f>((([APLICAÇÃO] * 2) - [TAXA VD]) - ([APLICAÇÃO] + [TAXA CP])) * 0.85</f>
        <v>23552.726500000004</v>
      </c>
      <c r="W17" s="14">
        <f>[APLICAÇÃO] - (ROUND([RENDA FIXA] * 0.1,2))</f>
        <v>19969.540000000005</v>
      </c>
      <c r="X17" s="4">
        <f>Tabela1[[#This Row],[PERDA MAX]]/Tabela1[[#This Row],[APLICAÇÃO]]</f>
        <v>0.71697323334013108</v>
      </c>
      <c r="Y17" s="15">
        <f>IF([LUCRO] &lt; ([RENDA FIXA]/2), 0.8, 0.8)</f>
        <v>0.8</v>
      </c>
      <c r="Z17" s="6">
        <f>IF([LUCRO] &lt; 0, 0, ROUND([LUCRO]*[NO BOLSO], 2))</f>
        <v>18842.18</v>
      </c>
      <c r="AA17" s="6">
        <f>[LUCRO]-[PROTEÇÃO MÊS]</f>
        <v>4710.5499999999993</v>
      </c>
      <c r="AB17" s="6">
        <f>[RENDA FIXA] + [PROTEÇÃO MÊS] - [APORTE RF]</f>
        <v>97672.37</v>
      </c>
      <c r="AC17" s="6">
        <f>[TOT RF] + [REINVESTIR] + [APLICAÇÃO]</f>
        <v>130235.48000000001</v>
      </c>
      <c r="AD17" s="4">
        <f>IF([RENDA FIXA] &gt; 0, [PROTEÇÃO MÊS] / [RENDA FIXA], 0)</f>
        <v>0.23902238469804524</v>
      </c>
    </row>
    <row r="18" spans="1:30">
      <c r="A18" s="1">
        <v>17</v>
      </c>
      <c r="B18" s="20">
        <v>41487</v>
      </c>
      <c r="C18" s="3">
        <v>97672.37</v>
      </c>
      <c r="D18" s="3"/>
      <c r="E18" s="3"/>
      <c r="F18" s="3">
        <v>28133.21</v>
      </c>
      <c r="G18" s="6">
        <v>700</v>
      </c>
      <c r="H18" s="6">
        <f>SUMPRODUCT(N([TRADE] &lt;= Tabela1[[#This Row],[TRADE]]), [APORTE]) + SUMPRODUCT(N([TRADE] &lt;= Tabela1[[#This Row],[TRADE]]), [APORTE RF])</f>
        <v>8845</v>
      </c>
      <c r="I18" s="6">
        <f>[MONTANTE] - SUMPRODUCT(N([TRADE] &lt;= Tabela1[[#This Row],[TRADE]]), [SAQUE]) + SUMPRODUCT(N([TRADE] &lt; Tabela1[[#This Row],[TRADE]]), [REINVESTIR])</f>
        <v>33263.11</v>
      </c>
      <c r="J18" s="6">
        <f>TRUNC([APLICAÇÃO]  * SETUP!$A$3, 2)</f>
        <v>12.3</v>
      </c>
      <c r="K18" s="6">
        <f>TRUNC([APLICAÇÃO]  * SETUP!$B$3, 2)</f>
        <v>9.14</v>
      </c>
      <c r="L18" s="6">
        <f>TRUNC([APLICAÇÃO]  * SETUP!$C$3, 2)</f>
        <v>23.11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60.319999999999993</v>
      </c>
      <c r="P18" s="6">
        <f>TRUNC([APLICAÇÃO] * 2  * SETUP!$A$3, 2)</f>
        <v>24.61</v>
      </c>
      <c r="Q18" s="6">
        <f>TRUNC([APLICAÇÃO] * 2  * SETUP!$B$3, 2)</f>
        <v>18.29</v>
      </c>
      <c r="R18" s="6">
        <f>TRUNC([APLICAÇÃO] * 2  * SETUP!$C$3, 2)</f>
        <v>46.23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104.9</v>
      </c>
      <c r="V18" s="6">
        <f>((([APLICAÇÃO] * 2) - [TAXA VD]) - ([APLICAÇÃO] + [TAXA CP])) * 0.85</f>
        <v>28133.206500000004</v>
      </c>
      <c r="W18" s="14">
        <f>[APLICAÇÃO] - (ROUND([RENDA FIXA] * 0.1,2))</f>
        <v>23495.870000000003</v>
      </c>
      <c r="X18" s="4">
        <f>Tabela1[[#This Row],[PERDA MAX]]/Tabela1[[#This Row],[APLICAÇÃO]]</f>
        <v>0.70636419745477808</v>
      </c>
      <c r="Y18" s="15">
        <f>IF([LUCRO] &lt; ([RENDA FIXA]/2), 0.8, 0.8)</f>
        <v>0.8</v>
      </c>
      <c r="Z18" s="6">
        <f>IF([LUCRO] &lt; 0, 0, ROUND([LUCRO]*[NO BOLSO], 2))</f>
        <v>22506.57</v>
      </c>
      <c r="AA18" s="6">
        <f>[LUCRO]-[PROTEÇÃO MÊS]</f>
        <v>5626.6399999999994</v>
      </c>
      <c r="AB18" s="6">
        <f>[RENDA FIXA] + [PROTEÇÃO MÊS] - [APORTE RF]</f>
        <v>120178.94</v>
      </c>
      <c r="AC18" s="6">
        <f>[TOT RF] + [REINVESTIR] + [APLICAÇÃO]</f>
        <v>159068.69</v>
      </c>
      <c r="AD18" s="4">
        <f>IF([RENDA FIXA] &gt; 0, [PROTEÇÃO MÊS] / [RENDA FIXA], 0)</f>
        <v>0.23042924012184818</v>
      </c>
    </row>
    <row r="19" spans="1:30">
      <c r="A19" s="1">
        <v>18</v>
      </c>
      <c r="B19" s="20">
        <v>41518</v>
      </c>
      <c r="C19" s="3">
        <v>120178.94</v>
      </c>
      <c r="D19" s="3"/>
      <c r="E19" s="3"/>
      <c r="F19" s="3">
        <v>33489.24</v>
      </c>
      <c r="G19" s="6">
        <v>700</v>
      </c>
      <c r="H19" s="6">
        <f>SUMPRODUCT(N([TRADE] &lt;= Tabela1[[#This Row],[TRADE]]), [APORTE]) + SUMPRODUCT(N([TRADE] &lt;= Tabela1[[#This Row],[TRADE]]), [APORTE RF])</f>
        <v>9545</v>
      </c>
      <c r="I19" s="6">
        <f>[MONTANTE] - SUMPRODUCT(N([TRADE] &lt;= Tabela1[[#This Row],[TRADE]]), [SAQUE]) + SUMPRODUCT(N([TRADE] &lt; Tabela1[[#This Row],[TRADE]]), [REINVESTIR])</f>
        <v>39589.75</v>
      </c>
      <c r="J19" s="6">
        <f>TRUNC([APLICAÇÃO]  * SETUP!$A$3, 2)</f>
        <v>14.64</v>
      </c>
      <c r="K19" s="6">
        <f>TRUNC([APLICAÇÃO]  * SETUP!$B$3, 2)</f>
        <v>10.88</v>
      </c>
      <c r="L19" s="6">
        <f>TRUNC([APLICAÇÃO]  * SETUP!$C$3, 2)</f>
        <v>27.51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68.8</v>
      </c>
      <c r="P19" s="6">
        <f>TRUNC([APLICAÇÃO] * 2  * SETUP!$A$3, 2)</f>
        <v>29.29</v>
      </c>
      <c r="Q19" s="6">
        <f>TRUNC([APLICAÇÃO] * 2  * SETUP!$B$3, 2)</f>
        <v>21.77</v>
      </c>
      <c r="R19" s="6">
        <f>TRUNC([APLICAÇÃO] * 2  * SETUP!$C$3, 2)</f>
        <v>55.02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121.85000000000002</v>
      </c>
      <c r="V19" s="6">
        <f>((([APLICAÇÃO] * 2) - [TAXA VD]) - ([APLICAÇÃO] + [TAXA CP])) * 0.85</f>
        <v>33489.234999999993</v>
      </c>
      <c r="W19" s="14">
        <f>[APLICAÇÃO] - (ROUND([RENDA FIXA] * 0.1,2))</f>
        <v>27571.86</v>
      </c>
      <c r="X19" s="4">
        <f>Tabela1[[#This Row],[PERDA MAX]]/Tabela1[[#This Row],[APLICAÇÃO]]</f>
        <v>0.69643935614647734</v>
      </c>
      <c r="Y19" s="15">
        <f>IF([LUCRO] &lt; ([RENDA FIXA]/2), 0.8, 0.8)</f>
        <v>0.8</v>
      </c>
      <c r="Z19" s="6">
        <f>IF([LUCRO] &lt; 0, 0, ROUND([LUCRO]*[NO BOLSO], 2))</f>
        <v>26791.39</v>
      </c>
      <c r="AA19" s="6">
        <f>[LUCRO]-[PROTEÇÃO MÊS]</f>
        <v>6697.8499999999985</v>
      </c>
      <c r="AB19" s="6">
        <f>[RENDA FIXA] + [PROTEÇÃO MÊS] - [APORTE RF]</f>
        <v>146970.33000000002</v>
      </c>
      <c r="AC19" s="6">
        <f>[TOT RF] + [REINVESTIR] + [APLICAÇÃO]</f>
        <v>193257.93000000002</v>
      </c>
      <c r="AD19" s="4">
        <f>IF([RENDA FIXA] &gt; 0, [PROTEÇÃO MÊS] / [RENDA FIXA], 0)</f>
        <v>0.2229291588026987</v>
      </c>
    </row>
    <row r="20" spans="1:30">
      <c r="A20" s="1">
        <v>19</v>
      </c>
      <c r="B20" s="20">
        <v>41548</v>
      </c>
      <c r="C20" s="3">
        <v>146970.32999999999</v>
      </c>
      <c r="D20" s="3"/>
      <c r="E20" s="3"/>
      <c r="F20" s="3">
        <v>39752.11</v>
      </c>
      <c r="G20" s="6">
        <v>700</v>
      </c>
      <c r="H20" s="6">
        <f>SUMPRODUCT(N([TRADE] &lt;= Tabela1[[#This Row],[TRADE]]), [APORTE]) + SUMPRODUCT(N([TRADE] &lt;= Tabela1[[#This Row],[TRADE]]), [APORTE RF])</f>
        <v>10245</v>
      </c>
      <c r="I20" s="6">
        <f>[MONTANTE] - SUMPRODUCT(N([TRADE] &lt;= Tabela1[[#This Row],[TRADE]]), [SAQUE]) + SUMPRODUCT(N([TRADE] &lt; Tabela1[[#This Row],[TRADE]]), [REINVESTIR])</f>
        <v>46987.600000000006</v>
      </c>
      <c r="J20" s="6">
        <f>TRUNC([APLICAÇÃO]  * SETUP!$A$3, 2)</f>
        <v>17.38</v>
      </c>
      <c r="K20" s="6">
        <f>TRUNC([APLICAÇÃO]  * SETUP!$B$3, 2)</f>
        <v>12.92</v>
      </c>
      <c r="L20" s="6">
        <f>TRUNC([APLICAÇÃO]  * SETUP!$C$3, 2)</f>
        <v>32.65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78.72</v>
      </c>
      <c r="P20" s="6">
        <f>TRUNC([APLICAÇÃO] * 2  * SETUP!$A$3, 2)</f>
        <v>34.770000000000003</v>
      </c>
      <c r="Q20" s="6">
        <f>TRUNC([APLICAÇÃO] * 2  * SETUP!$B$3, 2)</f>
        <v>25.84</v>
      </c>
      <c r="R20" s="6">
        <f>TRUNC([APLICAÇÃO] * 2  * SETUP!$C$3, 2)</f>
        <v>65.31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141.69</v>
      </c>
      <c r="V20" s="6">
        <f>((([APLICAÇÃO] * 2) - [TAXA VD]) - ([APLICAÇÃO] + [TAXA CP])) * 0.85</f>
        <v>39752.111499999999</v>
      </c>
      <c r="W20" s="14">
        <f>[APLICAÇÃO] - (ROUND([RENDA FIXA] * 0.1,2))</f>
        <v>32290.570000000007</v>
      </c>
      <c r="X20" s="4">
        <f>Tabela1[[#This Row],[PERDA MAX]]/Tabela1[[#This Row],[APLICAÇÃO]]</f>
        <v>0.68721471196656148</v>
      </c>
      <c r="Y20" s="15">
        <f>IF([LUCRO] &lt; ([RENDA FIXA]/2), 0.8, 0.8)</f>
        <v>0.8</v>
      </c>
      <c r="Z20" s="6">
        <f>IF([LUCRO] &lt; 0, 0, ROUND([LUCRO]*[NO BOLSO], 2))</f>
        <v>31801.69</v>
      </c>
      <c r="AA20" s="6">
        <f>[LUCRO]-[PROTEÇÃO MÊS]</f>
        <v>7950.4200000000019</v>
      </c>
      <c r="AB20" s="6">
        <f>[RENDA FIXA] + [PROTEÇÃO MÊS] - [APORTE RF]</f>
        <v>178772.02</v>
      </c>
      <c r="AC20" s="6">
        <f>[TOT RF] + [REINVESTIR] + [APLICAÇÃO]</f>
        <v>233710.04</v>
      </c>
      <c r="AD20" s="4">
        <f>IF([RENDA FIXA] &gt; 0, [PROTEÇÃO MÊS] / [RENDA FIXA], 0)</f>
        <v>0.21638170098685905</v>
      </c>
    </row>
    <row r="21" spans="1:30">
      <c r="A21" s="1">
        <v>20</v>
      </c>
      <c r="B21" s="20">
        <v>41579</v>
      </c>
      <c r="C21" s="3">
        <v>178772.02</v>
      </c>
      <c r="D21" s="3"/>
      <c r="E21" s="3"/>
      <c r="F21" s="3">
        <v>47075.41</v>
      </c>
      <c r="G21" s="6">
        <v>700</v>
      </c>
      <c r="H21" s="6">
        <f>SUMPRODUCT(N([TRADE] &lt;= Tabela1[[#This Row],[TRADE]]), [APORTE]) + SUMPRODUCT(N([TRADE] &lt;= Tabela1[[#This Row],[TRADE]]), [APORTE RF])</f>
        <v>10945</v>
      </c>
      <c r="I21" s="6">
        <f>[MONTANTE] - SUMPRODUCT(N([TRADE] &lt;= Tabela1[[#This Row],[TRADE]]), [SAQUE]) + SUMPRODUCT(N([TRADE] &lt; Tabela1[[#This Row],[TRADE]]), [REINVESTIR])</f>
        <v>55638.020000000004</v>
      </c>
      <c r="J21" s="6">
        <f>TRUNC([APLICAÇÃO]  * SETUP!$A$3, 2)</f>
        <v>20.58</v>
      </c>
      <c r="K21" s="6">
        <f>TRUNC([APLICAÇÃO]  * SETUP!$B$3, 2)</f>
        <v>15.3</v>
      </c>
      <c r="L21" s="6">
        <f>TRUNC([APLICAÇÃO]  * SETUP!$C$3, 2)</f>
        <v>38.659999999999997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90.31</v>
      </c>
      <c r="P21" s="6">
        <f>TRUNC([APLICAÇÃO] * 2  * SETUP!$A$3, 2)</f>
        <v>41.17</v>
      </c>
      <c r="Q21" s="6">
        <f>TRUNC([APLICAÇÃO] * 2  * SETUP!$B$3, 2)</f>
        <v>30.6</v>
      </c>
      <c r="R21" s="6">
        <f>TRUNC([APLICAÇÃO] * 2  * SETUP!$C$3, 2)</f>
        <v>77.33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164.87000000000003</v>
      </c>
      <c r="V21" s="6">
        <f>((([APLICAÇÃO] * 2) - [TAXA VD]) - ([APLICAÇÃO] + [TAXA CP])) * 0.85</f>
        <v>47075.414000000012</v>
      </c>
      <c r="W21" s="14">
        <f>[APLICAÇÃO] - (ROUND([RENDA FIXA] * 0.1,2))</f>
        <v>37760.820000000007</v>
      </c>
      <c r="X21" s="4">
        <f>Tabela1[[#This Row],[PERDA MAX]]/Tabela1[[#This Row],[APLICAÇÃO]]</f>
        <v>0.67868734365457295</v>
      </c>
      <c r="Y21" s="15">
        <f>IF([LUCRO] &lt; ([RENDA FIXA]/2), 0.8, 0.8)</f>
        <v>0.8</v>
      </c>
      <c r="Z21" s="6">
        <f>IF([LUCRO] &lt; 0, 0, ROUND([LUCRO]*[NO BOLSO], 2))</f>
        <v>37660.33</v>
      </c>
      <c r="AA21" s="6">
        <f>[LUCRO]-[PROTEÇÃO MÊS]</f>
        <v>9415.0800000000017</v>
      </c>
      <c r="AB21" s="6">
        <f>[RENDA FIXA] + [PROTEÇÃO MÊS] - [APORTE RF]</f>
        <v>216432.34999999998</v>
      </c>
      <c r="AC21" s="6">
        <f>[TOT RF] + [REINVESTIR] + [APLICAÇÃO]</f>
        <v>281485.45</v>
      </c>
      <c r="AD21" s="4">
        <f>IF([RENDA FIXA] &gt; 0, [PROTEÇÃO MÊS] / [RENDA FIXA], 0)</f>
        <v>0.21066120973517</v>
      </c>
    </row>
    <row r="22" spans="1:30">
      <c r="A22" s="1">
        <v>21</v>
      </c>
      <c r="B22" s="20">
        <v>41609</v>
      </c>
      <c r="C22" s="21">
        <v>216432.35</v>
      </c>
      <c r="D22" s="21"/>
      <c r="E22" s="21"/>
      <c r="F22" s="21">
        <v>55638.68</v>
      </c>
      <c r="G22" s="6">
        <v>700</v>
      </c>
      <c r="H22" s="22">
        <f>SUMPRODUCT(N([TRADE] &lt;= Tabela1[[#This Row],[TRADE]]), [APORTE]) + SUMPRODUCT(N([TRADE] &lt;= Tabela1[[#This Row],[TRADE]]), [APORTE RF])</f>
        <v>11645</v>
      </c>
      <c r="I22" s="22">
        <f>[MONTANTE] - SUMPRODUCT(N([TRADE] &lt;= Tabela1[[#This Row],[TRADE]]), [SAQUE]) + SUMPRODUCT(N([TRADE] &lt; Tabela1[[#This Row],[TRADE]]), [REINVESTIR])</f>
        <v>65753.100000000006</v>
      </c>
      <c r="J22" s="22">
        <f>TRUNC([APLICAÇÃO]  * SETUP!$A$3, 2)</f>
        <v>24.32</v>
      </c>
      <c r="K22" s="22">
        <f>TRUNC([APLICAÇÃO]  * SETUP!$B$3, 2)</f>
        <v>18.079999999999998</v>
      </c>
      <c r="L22" s="22">
        <f>TRUNC([APLICAÇÃO]  * SETUP!$C$3, 2)</f>
        <v>45.69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SUM(Tabela1[[#This Row],[EMOL CP]]:Tabela1[[#This Row],[OUTRAS CP]])</f>
        <v>103.86000000000001</v>
      </c>
      <c r="P22" s="22">
        <f>TRUNC([APLICAÇÃO] * 2  * SETUP!$A$3, 2)</f>
        <v>48.65</v>
      </c>
      <c r="Q22" s="22">
        <f>TRUNC([APLICAÇÃO] * 2  * SETUP!$B$3, 2)</f>
        <v>36.159999999999997</v>
      </c>
      <c r="R22" s="22">
        <f>TRUNC([APLICAÇÃO] * 2  * SETUP!$C$3, 2)</f>
        <v>91.39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SUM(Tabela1[[#This Row],[EMOL VD]]:Tabela1[[#This Row],[OUTRAS VD]])</f>
        <v>191.97</v>
      </c>
      <c r="V22" s="22">
        <f>((([APLICAÇÃO] * 2) - [TAXA VD]) - ([APLICAÇÃO] + [TAXA CP])) * 0.85</f>
        <v>55638.679499999998</v>
      </c>
      <c r="W22" s="23">
        <f>[APLICAÇÃO] - (ROUND([RENDA FIXA] * 0.1,2))</f>
        <v>44109.86</v>
      </c>
      <c r="X22" s="24">
        <f>Tabela1[[#This Row],[PERDA MAX]]/Tabela1[[#This Row],[APLICAÇÃO]]</f>
        <v>0.67084076644295088</v>
      </c>
      <c r="Y22" s="25">
        <f>IF([LUCRO] &lt; ([RENDA FIXA]/2), 0.8, 0.8)</f>
        <v>0.8</v>
      </c>
      <c r="Z22" s="22">
        <f>IF([LUCRO] &lt; 0, 0, ROUND([LUCRO]*[NO BOLSO], 2))</f>
        <v>44510.94</v>
      </c>
      <c r="AA22" s="22">
        <f>[LUCRO]-[PROTEÇÃO MÊS]</f>
        <v>11127.739999999998</v>
      </c>
      <c r="AB22" s="22">
        <f>[RENDA FIXA] + [PROTEÇÃO MÊS] - [APORTE RF]</f>
        <v>260943.29</v>
      </c>
      <c r="AC22" s="22">
        <f>[TOT RF] + [REINVESTIR] + [APLICAÇÃO]</f>
        <v>337824.13</v>
      </c>
      <c r="AD22" s="24">
        <f>IF([RENDA FIXA] &gt; 0, [PROTEÇÃO MÊS] / [RENDA FIXA], 0)</f>
        <v>0.20565751838854035</v>
      </c>
    </row>
    <row r="23" spans="1:30">
      <c r="A23" s="1">
        <v>22</v>
      </c>
      <c r="B23" s="20">
        <v>41640</v>
      </c>
      <c r="C23" s="3">
        <v>260943.29</v>
      </c>
      <c r="D23" s="3"/>
      <c r="E23" s="3"/>
      <c r="F23" s="3">
        <v>65651.850000000006</v>
      </c>
      <c r="G23" s="6">
        <v>700</v>
      </c>
      <c r="H23" s="6">
        <f>SUMPRODUCT(N([TRADE] &lt;= Tabela1[[#This Row],[TRADE]]), [APORTE]) + SUMPRODUCT(N([TRADE] &lt;= Tabela1[[#This Row],[TRADE]]), [APORTE RF])</f>
        <v>12345</v>
      </c>
      <c r="I23" s="6">
        <f>[MONTANTE] - SUMPRODUCT(N([TRADE] &lt;= Tabela1[[#This Row],[TRADE]]), [SAQUE]) + SUMPRODUCT(N([TRADE] &lt; Tabela1[[#This Row],[TRADE]]), [REINVESTIR])</f>
        <v>77580.84</v>
      </c>
      <c r="J23" s="6">
        <f>TRUNC([APLICAÇÃO]  * SETUP!$A$3, 2)</f>
        <v>28.7</v>
      </c>
      <c r="K23" s="6">
        <f>TRUNC([APLICAÇÃO]  * SETUP!$B$3, 2)</f>
        <v>21.33</v>
      </c>
      <c r="L23" s="6">
        <f>TRUNC([APLICAÇÃO]  * SETUP!$C$3, 2)</f>
        <v>53.91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119.71000000000001</v>
      </c>
      <c r="P23" s="6">
        <f>TRUNC([APLICAÇÃO] * 2  * SETUP!$A$3, 2)</f>
        <v>57.4</v>
      </c>
      <c r="Q23" s="6">
        <f>TRUNC([APLICAÇÃO] * 2  * SETUP!$B$3, 2)</f>
        <v>42.66</v>
      </c>
      <c r="R23" s="6">
        <f>TRUNC([APLICAÇÃO] * 2  * SETUP!$C$3, 2)</f>
        <v>107.83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223.66</v>
      </c>
      <c r="V23" s="6">
        <f>((([APLICAÇÃO] * 2) - [TAXA VD]) - ([APLICAÇÃO] + [TAXA CP])) * 0.85</f>
        <v>65651.849499999982</v>
      </c>
      <c r="W23" s="14">
        <f>[APLICAÇÃO] - (ROUND([RENDA FIXA] * 0.1,2))</f>
        <v>51486.509999999995</v>
      </c>
      <c r="X23" s="4">
        <f>Tabela1[[#This Row],[PERDA MAX]]/Tabela1[[#This Row],[APLICAÇÃO]]</f>
        <v>0.66364981353643504</v>
      </c>
      <c r="Y23" s="15">
        <f>IF([LUCRO] &lt; ([RENDA FIXA]/2), 0.8, 0.8)</f>
        <v>0.8</v>
      </c>
      <c r="Z23" s="6">
        <f>IF([LUCRO] &lt; 0, 0, ROUND([LUCRO]*[NO BOLSO], 2))</f>
        <v>52521.48</v>
      </c>
      <c r="AA23" s="6">
        <f>[LUCRO]-[PROTEÇÃO MÊS]</f>
        <v>13130.370000000003</v>
      </c>
      <c r="AB23" s="6">
        <f>[RENDA FIXA] + [PROTEÇÃO MÊS] - [APORTE RF]</f>
        <v>313464.77</v>
      </c>
      <c r="AC23" s="6">
        <f>[TOT RF] + [REINVESTIR] + [APLICAÇÃO]</f>
        <v>404175.98</v>
      </c>
      <c r="AD23" s="4">
        <f>IF([RENDA FIXA] &gt; 0, [PROTEÇÃO MÊS] / [RENDA FIXA], 0)</f>
        <v>0.20127545720757947</v>
      </c>
    </row>
    <row r="24" spans="1:30">
      <c r="A24" s="1">
        <v>23</v>
      </c>
      <c r="B24" s="20">
        <v>41671</v>
      </c>
      <c r="C24" s="3">
        <v>313464.77</v>
      </c>
      <c r="D24" s="3"/>
      <c r="E24" s="3"/>
      <c r="F24" s="3">
        <v>77360.39</v>
      </c>
      <c r="G24" s="6">
        <v>700</v>
      </c>
      <c r="H24" s="6">
        <f>SUMPRODUCT(N([TRADE] &lt;= Tabela1[[#This Row],[TRADE]]), [APORTE]) + SUMPRODUCT(N([TRADE] &lt;= Tabela1[[#This Row],[TRADE]]), [APORTE RF])</f>
        <v>13045</v>
      </c>
      <c r="I24" s="6">
        <f>[MONTANTE] - SUMPRODUCT(N([TRADE] &lt;= Tabela1[[#This Row],[TRADE]]), [SAQUE]) + SUMPRODUCT(N([TRADE] &lt; Tabela1[[#This Row],[TRADE]]), [REINVESTIR])</f>
        <v>91411.21</v>
      </c>
      <c r="J24" s="6">
        <f>TRUNC([APLICAÇÃO]  * SETUP!$A$3, 2)</f>
        <v>33.82</v>
      </c>
      <c r="K24" s="6">
        <f>TRUNC([APLICAÇÃO]  * SETUP!$B$3, 2)</f>
        <v>25.13</v>
      </c>
      <c r="L24" s="6">
        <f>TRUNC([APLICAÇÃO]  * SETUP!$C$3, 2)</f>
        <v>63.53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138.25</v>
      </c>
      <c r="P24" s="6">
        <f>TRUNC([APLICAÇÃO] * 2  * SETUP!$A$3, 2)</f>
        <v>67.64</v>
      </c>
      <c r="Q24" s="6">
        <f>TRUNC([APLICAÇÃO] * 2  * SETUP!$B$3, 2)</f>
        <v>50.27</v>
      </c>
      <c r="R24" s="6">
        <f>TRUNC([APLICAÇÃO] * 2  * SETUP!$C$3, 2)</f>
        <v>127.06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260.74</v>
      </c>
      <c r="V24" s="6">
        <f>((([APLICAÇÃO] * 2) - [TAXA VD]) - ([APLICAÇÃO] + [TAXA CP])) * 0.85</f>
        <v>77360.387000000017</v>
      </c>
      <c r="W24" s="14">
        <f>[APLICAÇÃO] - (ROUND([RENDA FIXA] * 0.1,2))</f>
        <v>60064.73000000001</v>
      </c>
      <c r="X24" s="4">
        <f>Tabela1[[#This Row],[PERDA MAX]]/Tabela1[[#This Row],[APLICAÇÃO]]</f>
        <v>0.65708275823063722</v>
      </c>
      <c r="Y24" s="15">
        <f>IF([LUCRO] &lt; ([RENDA FIXA]/2), 0.8, 0.8)</f>
        <v>0.8</v>
      </c>
      <c r="Z24" s="6">
        <f>IF([LUCRO] &lt; 0, 0, ROUND([LUCRO]*[NO BOLSO], 2))</f>
        <v>61888.31</v>
      </c>
      <c r="AA24" s="6">
        <f>[LUCRO]-[PROTEÇÃO MÊS]</f>
        <v>15472.080000000002</v>
      </c>
      <c r="AB24" s="6">
        <f>[RENDA FIXA] + [PROTEÇÃO MÊS] - [APORTE RF]</f>
        <v>375353.08</v>
      </c>
      <c r="AC24" s="6">
        <f>[TOT RF] + [REINVESTIR] + [APLICAÇÃO]</f>
        <v>482236.37000000005</v>
      </c>
      <c r="AD24" s="4">
        <f>IF([RENDA FIXA] &gt; 0, [PROTEÇÃO MÊS] / [RENDA FIXA], 0)</f>
        <v>0.19743306400907507</v>
      </c>
    </row>
    <row r="25" spans="1:30">
      <c r="A25" s="1">
        <v>24</v>
      </c>
      <c r="B25" s="20">
        <v>41699</v>
      </c>
      <c r="C25" s="3">
        <v>375353.08</v>
      </c>
      <c r="D25" s="3"/>
      <c r="E25" s="3"/>
      <c r="F25" s="3">
        <v>91051.39</v>
      </c>
      <c r="G25" s="6">
        <v>700</v>
      </c>
      <c r="H25" s="6">
        <f>SUMPRODUCT(N([TRADE] &lt;= Tabela1[[#This Row],[TRADE]]), [APORTE]) + SUMPRODUCT(N([TRADE] &lt;= Tabela1[[#This Row],[TRADE]]), [APORTE RF])</f>
        <v>13745</v>
      </c>
      <c r="I25" s="6">
        <f>[MONTANTE] - SUMPRODUCT(N([TRADE] &lt;= Tabela1[[#This Row],[TRADE]]), [SAQUE]) + SUMPRODUCT(N([TRADE] &lt; Tabela1[[#This Row],[TRADE]]), [REINVESTIR])</f>
        <v>107583.29000000001</v>
      </c>
      <c r="J25" s="6">
        <f>TRUNC([APLICAÇÃO]  * SETUP!$A$3, 2)</f>
        <v>39.799999999999997</v>
      </c>
      <c r="K25" s="6">
        <f>TRUNC([APLICAÇÃO]  * SETUP!$B$3, 2)</f>
        <v>29.58</v>
      </c>
      <c r="L25" s="6">
        <f>TRUNC([APLICAÇÃO]  * SETUP!$C$3, 2)</f>
        <v>74.77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159.91999999999999</v>
      </c>
      <c r="P25" s="6">
        <f>TRUNC([APLICAÇÃO] * 2  * SETUP!$A$3, 2)</f>
        <v>79.61</v>
      </c>
      <c r="Q25" s="6">
        <f>TRUNC([APLICAÇÃO] * 2  * SETUP!$B$3, 2)</f>
        <v>59.17</v>
      </c>
      <c r="R25" s="6">
        <f>TRUNC([APLICAÇÃO] * 2  * SETUP!$C$3, 2)</f>
        <v>149.54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304.08999999999997</v>
      </c>
      <c r="V25" s="6">
        <f>((([APLICAÇÃO] * 2) - [TAXA VD]) - ([APLICAÇÃO] + [TAXA CP])) * 0.85</f>
        <v>91051.388000000006</v>
      </c>
      <c r="W25" s="14">
        <f>[APLICAÇÃO] - (ROUND([RENDA FIXA] * 0.1,2))</f>
        <v>70047.98000000001</v>
      </c>
      <c r="X25" s="4">
        <f>Tabela1[[#This Row],[PERDA MAX]]/Tabela1[[#This Row],[APLICAÇÃO]]</f>
        <v>0.65110464645578325</v>
      </c>
      <c r="Y25" s="15">
        <f>IF([LUCRO] &lt; ([RENDA FIXA]/2), 0.8, 0.8)</f>
        <v>0.8</v>
      </c>
      <c r="Z25" s="6">
        <f>IF([LUCRO] &lt; 0, 0, ROUND([LUCRO]*[NO BOLSO], 2))</f>
        <v>72841.11</v>
      </c>
      <c r="AA25" s="6">
        <f>[LUCRO]-[PROTEÇÃO MÊS]</f>
        <v>18210.28</v>
      </c>
      <c r="AB25" s="6">
        <f>[RENDA FIXA] + [PROTEÇÃO MÊS] - [APORTE RF]</f>
        <v>448194.19</v>
      </c>
      <c r="AC25" s="6">
        <f>[TOT RF] + [REINVESTIR] + [APLICAÇÃO]</f>
        <v>573987.76</v>
      </c>
      <c r="AD25" s="4">
        <f>IF([RENDA FIXA] &gt; 0, [PROTEÇÃO MÊS] / [RENDA FIXA], 0)</f>
        <v>0.1940602432248591</v>
      </c>
    </row>
    <row r="26" spans="1:30">
      <c r="A26" s="1">
        <v>25</v>
      </c>
      <c r="B26" s="20">
        <v>41730</v>
      </c>
      <c r="C26" s="3">
        <v>448194.19</v>
      </c>
      <c r="D26" s="3"/>
      <c r="E26" s="3"/>
      <c r="F26" s="3">
        <v>107060.52</v>
      </c>
      <c r="G26" s="6">
        <v>700</v>
      </c>
      <c r="H26" s="6">
        <f>SUMPRODUCT(N([TRADE] &lt;= Tabela1[[#This Row],[TRADE]]), [APORTE]) + SUMPRODUCT(N([TRADE] &lt;= Tabela1[[#This Row],[TRADE]]), [APORTE RF])</f>
        <v>14445</v>
      </c>
      <c r="I26" s="6">
        <f>[MONTANTE] - SUMPRODUCT(N([TRADE] &lt;= Tabela1[[#This Row],[TRADE]]), [SAQUE]) + SUMPRODUCT(N([TRADE] &lt; Tabela1[[#This Row],[TRADE]]), [REINVESTIR])</f>
        <v>126493.57</v>
      </c>
      <c r="J26" s="6">
        <f>TRUNC([APLICAÇÃO]  * SETUP!$A$3, 2)</f>
        <v>46.8</v>
      </c>
      <c r="K26" s="6">
        <f>TRUNC([APLICAÇÃO]  * SETUP!$B$3, 2)</f>
        <v>34.78</v>
      </c>
      <c r="L26" s="6">
        <f>TRUNC([APLICAÇÃO]  * SETUP!$C$3, 2)</f>
        <v>87.91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SUM(Tabela1[[#This Row],[EMOL CP]]:Tabela1[[#This Row],[OUTRAS CP]])</f>
        <v>185.26000000000002</v>
      </c>
      <c r="P26" s="6">
        <f>TRUNC([APLICAÇÃO] * 2  * SETUP!$A$3, 2)</f>
        <v>93.6</v>
      </c>
      <c r="Q26" s="6">
        <f>TRUNC([APLICAÇÃO] * 2  * SETUP!$B$3, 2)</f>
        <v>69.569999999999993</v>
      </c>
      <c r="R26" s="6">
        <f>TRUNC([APLICAÇÃO] * 2  * SETUP!$C$3, 2)</f>
        <v>175.82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SUM(Tabela1[[#This Row],[EMOL VD]]:Tabela1[[#This Row],[OUTRAS VD]])</f>
        <v>354.76</v>
      </c>
      <c r="V26" s="6">
        <f>((([APLICAÇÃO] * 2) - [TAXA VD]) - ([APLICAÇÃO] + [TAXA CP])) * 0.85</f>
        <v>107060.5175</v>
      </c>
      <c r="W26" s="14">
        <f>[APLICAÇÃO] - (ROUND([RENDA FIXA] * 0.1,2))</f>
        <v>81674.150000000009</v>
      </c>
      <c r="X26" s="4">
        <f>Tabela1[[#This Row],[PERDA MAX]]/Tabela1[[#This Row],[APLICAÇÃO]]</f>
        <v>0.64567827439766312</v>
      </c>
      <c r="Y26" s="15">
        <f>IF([LUCRO] &lt; ([RENDA FIXA]/2), 0.8, 0.8)</f>
        <v>0.8</v>
      </c>
      <c r="Z26" s="6">
        <f>IF([LUCRO] &lt; 0, 0, ROUND([LUCRO]*[NO BOLSO], 2))</f>
        <v>85648.42</v>
      </c>
      <c r="AA26" s="6">
        <f>[LUCRO]-[PROTEÇÃO MÊS]</f>
        <v>21412.100000000006</v>
      </c>
      <c r="AB26" s="6">
        <f>[RENDA FIXA] + [PROTEÇÃO MÊS] - [APORTE RF]</f>
        <v>533842.61</v>
      </c>
      <c r="AC26" s="6">
        <f>[TOT RF] + [REINVESTIR] + [APLICAÇÃO]</f>
        <v>681748.28</v>
      </c>
      <c r="AD26" s="4">
        <f>IF([RENDA FIXA] &gt; 0, [PROTEÇÃO MÊS] / [RENDA FIXA], 0)</f>
        <v>0.19109667619743129</v>
      </c>
    </row>
    <row r="27" spans="1:30">
      <c r="A27" s="1">
        <v>26</v>
      </c>
      <c r="B27" s="20">
        <v>41760</v>
      </c>
      <c r="C27" s="3">
        <v>533842.61</v>
      </c>
      <c r="D27" s="3"/>
      <c r="E27" s="3"/>
      <c r="F27" s="3">
        <v>125780.25</v>
      </c>
      <c r="G27" s="6">
        <v>700</v>
      </c>
      <c r="H27" s="6">
        <f>SUMPRODUCT(N([TRADE] &lt;= Tabela1[[#This Row],[TRADE]]), [APORTE]) + SUMPRODUCT(N([TRADE] &lt;= Tabela1[[#This Row],[TRADE]]), [APORTE RF])</f>
        <v>15145</v>
      </c>
      <c r="I27" s="6">
        <f>[MONTANTE] - SUMPRODUCT(N([TRADE] &lt;= Tabela1[[#This Row],[TRADE]]), [SAQUE]) + SUMPRODUCT(N([TRADE] &lt; Tabela1[[#This Row],[TRADE]]), [REINVESTIR])</f>
        <v>148605.67000000001</v>
      </c>
      <c r="J27" s="6">
        <f>TRUNC([APLICAÇÃO]  * SETUP!$A$3, 2)</f>
        <v>54.98</v>
      </c>
      <c r="K27" s="6">
        <f>TRUNC([APLICAÇÃO]  * SETUP!$B$3, 2)</f>
        <v>40.86</v>
      </c>
      <c r="L27" s="6">
        <f>TRUNC([APLICAÇÃO]  * SETUP!$C$3, 2)</f>
        <v>103.28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SUM(Tabela1[[#This Row],[EMOL CP]]:Tabela1[[#This Row],[OUTRAS CP]])</f>
        <v>214.89000000000001</v>
      </c>
      <c r="P27" s="6">
        <f>TRUNC([APLICAÇÃO] * 2  * SETUP!$A$3, 2)</f>
        <v>109.96</v>
      </c>
      <c r="Q27" s="6">
        <f>TRUNC([APLICAÇÃO] * 2  * SETUP!$B$3, 2)</f>
        <v>81.73</v>
      </c>
      <c r="R27" s="6">
        <f>TRUNC([APLICAÇÃO] * 2  * SETUP!$C$3, 2)</f>
        <v>206.56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SUM(Tabela1[[#This Row],[EMOL VD]]:Tabela1[[#This Row],[OUTRAS VD]])</f>
        <v>414.02</v>
      </c>
      <c r="V27" s="6">
        <f>((([APLICAÇÃO] * 2) - [TAXA VD]) - ([APLICAÇÃO] + [TAXA CP])) * 0.85</f>
        <v>125780.24599999998</v>
      </c>
      <c r="W27" s="14">
        <f>[APLICAÇÃO] - (ROUND([RENDA FIXA] * 0.1,2))</f>
        <v>95221.41</v>
      </c>
      <c r="X27" s="4">
        <f>Tabela1[[#This Row],[PERDA MAX]]/Tabela1[[#This Row],[APLICAÇÃO]]</f>
        <v>0.64076565853779333</v>
      </c>
      <c r="Y27" s="15">
        <f>IF([LUCRO] &lt; ([RENDA FIXA]/2), 0.8, 0.8)</f>
        <v>0.8</v>
      </c>
      <c r="Z27" s="6">
        <f>IF([LUCRO] &lt; 0, 0, ROUND([LUCRO]*[NO BOLSO], 2))</f>
        <v>100624.2</v>
      </c>
      <c r="AA27" s="6">
        <f>[LUCRO]-[PROTEÇÃO MÊS]</f>
        <v>25156.050000000003</v>
      </c>
      <c r="AB27" s="6">
        <f>[RENDA FIXA] + [PROTEÇÃO MÊS] - [APORTE RF]</f>
        <v>634466.80999999994</v>
      </c>
      <c r="AC27" s="6">
        <f>[TOT RF] + [REINVESTIR] + [APLICAÇÃO]</f>
        <v>808228.53</v>
      </c>
      <c r="AD27" s="4">
        <f>IF([RENDA FIXA] &gt; 0, [PROTEÇÃO MÊS] / [RENDA FIXA], 0)</f>
        <v>0.18849038670779764</v>
      </c>
    </row>
    <row r="28" spans="1:30">
      <c r="A28" s="1">
        <v>27</v>
      </c>
      <c r="B28" s="20">
        <v>41791</v>
      </c>
      <c r="C28" s="21">
        <v>634466.81000000006</v>
      </c>
      <c r="D28" s="21"/>
      <c r="E28" s="21"/>
      <c r="F28" s="21">
        <v>147669.53</v>
      </c>
      <c r="G28" s="6">
        <v>700</v>
      </c>
      <c r="H28" s="22">
        <f>SUMPRODUCT(N([TRADE] &lt;= Tabela1[[#This Row],[TRADE]]), [APORTE]) + SUMPRODUCT(N([TRADE] &lt;= Tabela1[[#This Row],[TRADE]]), [APORTE RF])</f>
        <v>15845</v>
      </c>
      <c r="I28" s="22">
        <f>[MONTANTE] - SUMPRODUCT(N([TRADE] &lt;= Tabela1[[#This Row],[TRADE]]), [SAQUE]) + SUMPRODUCT(N([TRADE] &lt; Tabela1[[#This Row],[TRADE]]), [REINVESTIR])</f>
        <v>174461.72000000003</v>
      </c>
      <c r="J28" s="22">
        <f>TRUNC([APLICAÇÃO]  * SETUP!$A$3, 2)</f>
        <v>64.55</v>
      </c>
      <c r="K28" s="22">
        <f>TRUNC([APLICAÇÃO]  * SETUP!$B$3, 2)</f>
        <v>47.97</v>
      </c>
      <c r="L28" s="22">
        <f>TRUNC([APLICAÇÃO]  * SETUP!$C$3, 2)</f>
        <v>121.25</v>
      </c>
      <c r="M28" s="22">
        <f>TRUNC(SETUP!$G$3  * SETUP!$H$3, 2)</f>
        <v>0.28999999999999998</v>
      </c>
      <c r="N28" s="22">
        <f>ROUND(SETUP!$G$3 * SETUP!$I$3, 2)</f>
        <v>0.57999999999999996</v>
      </c>
      <c r="O28" s="22">
        <f>SETUP!$G$3 + SUM(Tabela1[[#This Row],[EMOL CP]]:Tabela1[[#This Row],[OUTRAS CP]])</f>
        <v>249.54</v>
      </c>
      <c r="P28" s="22">
        <f>TRUNC([APLICAÇÃO] * 2  * SETUP!$A$3, 2)</f>
        <v>129.1</v>
      </c>
      <c r="Q28" s="22">
        <f>TRUNC([APLICAÇÃO] * 2  * SETUP!$B$3, 2)</f>
        <v>95.95</v>
      </c>
      <c r="R28" s="22">
        <f>TRUNC([APLICAÇÃO] * 2  * SETUP!$C$3, 2)</f>
        <v>242.5</v>
      </c>
      <c r="S28" s="22">
        <f>TRUNC(SETUP!$G$3  * SETUP!$H$3, 2)</f>
        <v>0.28999999999999998</v>
      </c>
      <c r="T28" s="22">
        <f>ROUND(SETUP!$G$3 * SETUP!$I$3, 2)</f>
        <v>0.57999999999999996</v>
      </c>
      <c r="U28" s="22">
        <f>SETUP!$G$3 + SUM(Tabela1[[#This Row],[EMOL VD]]:Tabela1[[#This Row],[OUTRAS VD]])</f>
        <v>483.32</v>
      </c>
      <c r="V28" s="22">
        <f>((([APLICAÇÃO] * 2) - [TAXA VD]) - ([APLICAÇÃO] + [TAXA CP])) * 0.85</f>
        <v>147669.53100000002</v>
      </c>
      <c r="W28" s="23">
        <f>[APLICAÇÃO] - (ROUND([RENDA FIXA] * 0.1,2))</f>
        <v>111015.04000000004</v>
      </c>
      <c r="X28" s="24">
        <f>Tabela1[[#This Row],[PERDA MAX]]/Tabela1[[#This Row],[APLICAÇÃO]]</f>
        <v>0.63632893221504416</v>
      </c>
      <c r="Y28" s="25">
        <f>IF([LUCRO] &lt; ([RENDA FIXA]/2), 0.8, 0.8)</f>
        <v>0.8</v>
      </c>
      <c r="Z28" s="22">
        <f>IF([LUCRO] &lt; 0, 0, ROUND([LUCRO]*[NO BOLSO], 2))</f>
        <v>118135.62</v>
      </c>
      <c r="AA28" s="22">
        <f>[LUCRO]-[PROTEÇÃO MÊS]</f>
        <v>29533.910000000003</v>
      </c>
      <c r="AB28" s="22">
        <f>[RENDA FIXA] + [PROTEÇÃO MÊS] - [APORTE RF]</f>
        <v>752602.43</v>
      </c>
      <c r="AC28" s="22">
        <f>[TOT RF] + [REINVESTIR] + [APLICAÇÃO]</f>
        <v>956598.06</v>
      </c>
      <c r="AD28" s="24">
        <f>IF([RENDA FIXA] &gt; 0, [PROTEÇÃO MÊS] / [RENDA FIXA], 0)</f>
        <v>0.18619669009951834</v>
      </c>
    </row>
    <row r="29" spans="1:30">
      <c r="A29" s="1">
        <v>28</v>
      </c>
      <c r="B29" s="20">
        <v>41821</v>
      </c>
      <c r="C29" s="21">
        <v>752602.43</v>
      </c>
      <c r="D29" s="21"/>
      <c r="E29" s="21"/>
      <c r="F29" s="21">
        <v>173265.05</v>
      </c>
      <c r="G29" s="6">
        <v>700</v>
      </c>
      <c r="H29" s="22">
        <f>SUMPRODUCT(N([TRADE] &lt;= Tabela1[[#This Row],[TRADE]]), [APORTE]) + SUMPRODUCT(N([TRADE] &lt;= Tabela1[[#This Row],[TRADE]]), [APORTE RF])</f>
        <v>16545</v>
      </c>
      <c r="I29" s="22">
        <f>[MONTANTE] - SUMPRODUCT(N([TRADE] &lt;= Tabela1[[#This Row],[TRADE]]), [SAQUE]) + SUMPRODUCT(N([TRADE] &lt; Tabela1[[#This Row],[TRADE]]), [REINVESTIR])</f>
        <v>204695.63000000003</v>
      </c>
      <c r="J29" s="22">
        <f>TRUNC([APLICAÇÃO]  * SETUP!$A$3, 2)</f>
        <v>75.73</v>
      </c>
      <c r="K29" s="22">
        <f>TRUNC([APLICAÇÃO]  * SETUP!$B$3, 2)</f>
        <v>56.29</v>
      </c>
      <c r="L29" s="22">
        <f>TRUNC([APLICAÇÃO]  * SETUP!$C$3, 2)</f>
        <v>142.26</v>
      </c>
      <c r="M29" s="22">
        <f>TRUNC(SETUP!$G$3  * SETUP!$H$3, 2)</f>
        <v>0.28999999999999998</v>
      </c>
      <c r="N29" s="22">
        <f>ROUND(SETUP!$G$3 * SETUP!$I$3, 2)</f>
        <v>0.57999999999999996</v>
      </c>
      <c r="O29" s="22">
        <f>SETUP!$G$3 + SUM(Tabela1[[#This Row],[EMOL CP]]:Tabela1[[#This Row],[OUTRAS CP]])</f>
        <v>290.04999999999995</v>
      </c>
      <c r="P29" s="22">
        <f>TRUNC([APLICAÇÃO] * 2  * SETUP!$A$3, 2)</f>
        <v>151.47</v>
      </c>
      <c r="Q29" s="22">
        <f>TRUNC([APLICAÇÃO] * 2  * SETUP!$B$3, 2)</f>
        <v>112.58</v>
      </c>
      <c r="R29" s="22">
        <f>TRUNC([APLICAÇÃO] * 2  * SETUP!$C$3, 2)</f>
        <v>284.52</v>
      </c>
      <c r="S29" s="22">
        <f>TRUNC(SETUP!$G$3  * SETUP!$H$3, 2)</f>
        <v>0.28999999999999998</v>
      </c>
      <c r="T29" s="22">
        <f>ROUND(SETUP!$G$3 * SETUP!$I$3, 2)</f>
        <v>0.57999999999999996</v>
      </c>
      <c r="U29" s="22">
        <f>SETUP!$G$3 + SUM(Tabela1[[#This Row],[EMOL VD]]:Tabela1[[#This Row],[OUTRAS VD]])</f>
        <v>564.33999999999992</v>
      </c>
      <c r="V29" s="22">
        <f>((([APLICAÇÃO] * 2) - [TAXA VD]) - ([APLICAÇÃO] + [TAXA CP])) * 0.85</f>
        <v>173265.054</v>
      </c>
      <c r="W29" s="23">
        <f>[APLICAÇÃO] - (ROUND([RENDA FIXA] * 0.1,2))</f>
        <v>129435.39000000003</v>
      </c>
      <c r="X29" s="24">
        <f>Tabela1[[#This Row],[PERDA MAX]]/Tabela1[[#This Row],[APLICAÇÃO]]</f>
        <v>0.63233098820917677</v>
      </c>
      <c r="Y29" s="25">
        <f>IF([LUCRO] &lt; ([RENDA FIXA]/2), 0.8, 0.8)</f>
        <v>0.8</v>
      </c>
      <c r="Z29" s="22">
        <f>IF([LUCRO] &lt; 0, 0, ROUND([LUCRO]*[NO BOLSO], 2))</f>
        <v>138612.04</v>
      </c>
      <c r="AA29" s="22">
        <f>[LUCRO]-[PROTEÇÃO MÊS]</f>
        <v>34653.00999999998</v>
      </c>
      <c r="AB29" s="22">
        <f>[RENDA FIXA] + [PROTEÇÃO MÊS] - [APORTE RF]</f>
        <v>891214.47000000009</v>
      </c>
      <c r="AC29" s="22">
        <f>[TOT RF] + [REINVESTIR] + [APLICAÇÃO]</f>
        <v>1130563.1100000001</v>
      </c>
      <c r="AD29" s="24">
        <f>IF([RENDA FIXA] &gt; 0, [PROTEÇÃO MÊS] / [RENDA FIXA], 0)</f>
        <v>0.18417697641502434</v>
      </c>
    </row>
    <row r="30" spans="1:30">
      <c r="A30" s="1">
        <v>29</v>
      </c>
      <c r="B30" s="20">
        <v>41852</v>
      </c>
      <c r="C30" s="55">
        <v>891214.47</v>
      </c>
      <c r="D30" s="55"/>
      <c r="E30" s="55"/>
      <c r="F30" s="55">
        <v>203194.32</v>
      </c>
      <c r="G30" s="56">
        <v>700</v>
      </c>
      <c r="H30" s="56">
        <f>SUMPRODUCT(N([TRADE] &lt;= Tabela1[[#This Row],[TRADE]]), [APORTE]) + SUMPRODUCT(N([TRADE] &lt;= Tabela1[[#This Row],[TRADE]]), [APORTE RF])</f>
        <v>17245</v>
      </c>
      <c r="I30" s="56">
        <f>[MONTANTE] - SUMPRODUCT(N([TRADE] &lt;= Tabela1[[#This Row],[TRADE]]), [SAQUE]) + SUMPRODUCT(N([TRADE] &lt; Tabela1[[#This Row],[TRADE]]), [REINVESTIR])</f>
        <v>240048.64000000001</v>
      </c>
      <c r="J30" s="56">
        <f>TRUNC([APLICAÇÃO]  * SETUP!$A$3, 2)</f>
        <v>88.81</v>
      </c>
      <c r="K30" s="56">
        <f>TRUNC([APLICAÇÃO]  * SETUP!$B$3, 2)</f>
        <v>66.010000000000005</v>
      </c>
      <c r="L30" s="56">
        <f>TRUNC([APLICAÇÃO]  * SETUP!$C$3, 2)</f>
        <v>166.83</v>
      </c>
      <c r="M30" s="56">
        <f>TRUNC(SETUP!$G$3  * SETUP!$H$3, 2)</f>
        <v>0.28999999999999998</v>
      </c>
      <c r="N30" s="56">
        <f>ROUND(SETUP!$G$3 * SETUP!$I$3, 2)</f>
        <v>0.57999999999999996</v>
      </c>
      <c r="O30" s="56">
        <f>SETUP!$G$3 + SUM(Tabela1[[#This Row],[EMOL CP]]:Tabela1[[#This Row],[OUTRAS CP]])</f>
        <v>337.41999999999996</v>
      </c>
      <c r="P30" s="56">
        <f>TRUNC([APLICAÇÃO] * 2  * SETUP!$A$3, 2)</f>
        <v>177.63</v>
      </c>
      <c r="Q30" s="56">
        <f>TRUNC([APLICAÇÃO] * 2  * SETUP!$B$3, 2)</f>
        <v>132.02000000000001</v>
      </c>
      <c r="R30" s="56">
        <f>TRUNC([APLICAÇÃO] * 2  * SETUP!$C$3, 2)</f>
        <v>333.66</v>
      </c>
      <c r="S30" s="56">
        <f>TRUNC(SETUP!$G$3  * SETUP!$H$3, 2)</f>
        <v>0.28999999999999998</v>
      </c>
      <c r="T30" s="56">
        <f>ROUND(SETUP!$G$3 * SETUP!$I$3, 2)</f>
        <v>0.57999999999999996</v>
      </c>
      <c r="U30" s="56">
        <f>SETUP!$G$3 + SUM(Tabela1[[#This Row],[EMOL VD]]:Tabela1[[#This Row],[OUTRAS VD]])</f>
        <v>659.07999999999993</v>
      </c>
      <c r="V30" s="56">
        <f>((([APLICAÇÃO] * 2) - [TAXA VD]) - ([APLICAÇÃO] + [TAXA CP])) * 0.85</f>
        <v>203194.31899999999</v>
      </c>
      <c r="W30" s="57">
        <f>[APLICAÇÃO] - (ROUND([RENDA FIXA] * 0.1,2))</f>
        <v>150927.19</v>
      </c>
      <c r="X30" s="58">
        <f>Tabela1[[#This Row],[PERDA MAX]]/Tabela1[[#This Row],[APLICAÇÃO]]</f>
        <v>0.62873586786411284</v>
      </c>
      <c r="Y30" s="59">
        <f>IF([LUCRO] &lt; ([RENDA FIXA]/2), 0.8, 0.8)</f>
        <v>0.8</v>
      </c>
      <c r="Z30" s="56">
        <f>IF([LUCRO] &lt; 0, 0, ROUND([LUCRO]*[NO BOLSO], 2))</f>
        <v>162555.46</v>
      </c>
      <c r="AA30" s="56">
        <f>[LUCRO]-[PROTEÇÃO MÊS]</f>
        <v>40638.860000000015</v>
      </c>
      <c r="AB30" s="56">
        <f>[RENDA FIXA] + [PROTEÇÃO MÊS] - [APORTE RF]</f>
        <v>1053769.93</v>
      </c>
      <c r="AC30" s="56">
        <f>[TOT RF] + [REINVESTIR] + [APLICAÇÃO]</f>
        <v>1334457.4300000002</v>
      </c>
      <c r="AD30" s="58">
        <f>IF([RENDA FIXA] &gt; 0, [PROTEÇÃO MÊS] / [RENDA FIXA], 0)</f>
        <v>0.18239768930143155</v>
      </c>
    </row>
    <row r="31" spans="1:30" ht="15">
      <c r="A31" s="49" t="s">
        <v>37</v>
      </c>
      <c r="B31" s="50"/>
      <c r="C31" s="51"/>
      <c r="D31" s="51"/>
      <c r="E31" s="51"/>
      <c r="F31" s="51"/>
      <c r="G31" s="52">
        <f>SUBTOTAL(109,[APORTE])</f>
        <v>17245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3"/>
      <c r="X31" s="51"/>
      <c r="Y31" s="49"/>
      <c r="Z31" s="51"/>
      <c r="AA31" s="52"/>
      <c r="AB31" s="51"/>
      <c r="AC31" s="52"/>
      <c r="AD31" s="5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31"/>
  <sheetViews>
    <sheetView tabSelected="1" workbookViewId="0">
      <selection activeCell="D25" sqref="D25"/>
    </sheetView>
  </sheetViews>
  <sheetFormatPr defaultRowHeight="11.25"/>
  <cols>
    <col min="1" max="1" width="7.5703125" style="1" bestFit="1" customWidth="1"/>
    <col min="2" max="2" width="10" style="26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8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26">
        <v>41030</v>
      </c>
      <c r="C3" s="3">
        <v>0</v>
      </c>
      <c r="D3" s="3">
        <v>0</v>
      </c>
      <c r="E3" s="3">
        <v>0</v>
      </c>
      <c r="F3" s="3">
        <v>491.56</v>
      </c>
      <c r="G3" s="3">
        <v>0</v>
      </c>
      <c r="H3" s="3">
        <f>SUMPRODUCT(N([TRADE] &lt;= Tabela13[[#This Row],[TRADE]]), [APORTE]) + SUMPRODUCT(N([TRADE] &lt;= Tabela13[[#This Row],[TRADE]]), [APORTE RF])</f>
        <v>100</v>
      </c>
      <c r="I3" s="3">
        <f>[MONTANTE] - SUMPRODUCT(N([TRADE] &lt;= Tabela13[[#This Row],[TRADE]]), [SAQUE]) + SUMPRODUCT(N([TRADE] &lt; Tabela13[[#This Row],[TRADE]]), [REINVESTIR])</f>
        <v>100</v>
      </c>
      <c r="J3" s="3">
        <f>TRUNC([APLICAÇÃO]  * SETUP!$A$3, 2)</f>
        <v>0.03</v>
      </c>
      <c r="K3" s="3">
        <f>TRUNC([APLICAÇÃO]  * SETUP!$B$3, 2)</f>
        <v>0.02</v>
      </c>
      <c r="L3" s="3">
        <f>TRUNC([APLICAÇÃO]  * SETUP!$C$3, 2)</f>
        <v>0.06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15.88</v>
      </c>
      <c r="P3" s="3">
        <f>TRUNC([APLICAÇÃO] * 2  * SETUP!$A$3, 2)</f>
        <v>7.0000000000000007E-2</v>
      </c>
      <c r="Q3" s="3">
        <f>TRUNC([APLICAÇÃO] * 2  * SETUP!$B$3, 2)</f>
        <v>0.05</v>
      </c>
      <c r="R3" s="3">
        <f>TRUNC([APLICAÇÃO] * 2  * SETUP!$C$3, 2)</f>
        <v>0.13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16.02</v>
      </c>
      <c r="V3" s="3">
        <f>((([APLICAÇÃO] * 2) - [TAXA VD]) - ([APLICAÇÃO] + [TAXA CP])) * 0.85</f>
        <v>57.884999999999991</v>
      </c>
      <c r="W3" s="11">
        <f>[APLICAÇÃO] - (ROUND([RENDA FIXA] * 0.1,2))</f>
        <v>100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393.25</v>
      </c>
      <c r="AA3" s="3">
        <f>[LUCRO]-[PROTEÇÃO MÊS]</f>
        <v>98.31</v>
      </c>
      <c r="AB3" s="3">
        <f>[RENDA FIXA] + [PROTEÇÃO MÊS] - [APORTE RF]</f>
        <v>393.25</v>
      </c>
      <c r="AC3" s="6">
        <f>[TOT RF] + [REINVESTIR] + [APLICAÇÃO]</f>
        <v>591.55999999999995</v>
      </c>
    </row>
    <row r="4" spans="1:29">
      <c r="A4" s="29">
        <v>3</v>
      </c>
      <c r="B4" s="26">
        <v>41061</v>
      </c>
      <c r="C4" s="30">
        <v>393.25</v>
      </c>
      <c r="D4" s="30">
        <v>0</v>
      </c>
      <c r="E4" s="30">
        <v>0</v>
      </c>
      <c r="F4" s="30">
        <v>516.97</v>
      </c>
      <c r="G4" s="31">
        <f>100</f>
        <v>100</v>
      </c>
      <c r="H4" s="31">
        <f>SUMPRODUCT(N([TRADE] &lt;= Tabela13[[#This Row],[TRADE]]), [APORTE]) + SUMPRODUCT(N([TRADE] &lt;= Tabela13[[#This Row],[TRADE]]), [APORTE RF])</f>
        <v>200</v>
      </c>
      <c r="I4" s="31">
        <f>[MONTANTE] - SUMPRODUCT(N([TRADE] &lt;= Tabela13[[#This Row],[TRADE]]), [SAQUE]) + SUMPRODUCT(N([TRADE] &lt; Tabela13[[#This Row],[TRADE]]), [REINVESTIR])</f>
        <v>298.31</v>
      </c>
      <c r="J4" s="31">
        <f>TRUNC([APLICAÇÃO]  * SETUP!$A$3, 2)</f>
        <v>0.11</v>
      </c>
      <c r="K4" s="31">
        <f>TRUNC([APLICAÇÃO]  * SETUP!$B$3, 2)</f>
        <v>0.08</v>
      </c>
      <c r="L4" s="31">
        <f>TRUNC([APLICAÇÃO]  * SETUP!$C$3, 2)</f>
        <v>0.2</v>
      </c>
      <c r="M4" s="31">
        <f>TRUNC(SETUP!$G$3  * SETUP!$H$3, 2)</f>
        <v>0.28999999999999998</v>
      </c>
      <c r="N4" s="31">
        <f>ROUND(SETUP!$G$3 * SETUP!$I$3, 2)</f>
        <v>0.57999999999999996</v>
      </c>
      <c r="O4" s="31">
        <f>SETUP!$G$3 + SUM(Tabela13[[#This Row],[EMOL CP]]:Tabela13[[#This Row],[OUTRAS CP]])</f>
        <v>16.16</v>
      </c>
      <c r="P4" s="31">
        <f>TRUNC([APLICAÇÃO] * 2  * SETUP!$A$3, 2)</f>
        <v>0.22</v>
      </c>
      <c r="Q4" s="31">
        <f>TRUNC([APLICAÇÃO] * 2  * SETUP!$B$3, 2)</f>
        <v>0.16</v>
      </c>
      <c r="R4" s="31">
        <f>TRUNC([APLICAÇÃO] * 2  * SETUP!$C$3, 2)</f>
        <v>0.41</v>
      </c>
      <c r="S4" s="31">
        <f>TRUNC(SETUP!$G$3  * SETUP!$H$3, 2)</f>
        <v>0.28999999999999998</v>
      </c>
      <c r="T4" s="31">
        <f>ROUND(SETUP!$G$3 * SETUP!$I$3, 2)</f>
        <v>0.57999999999999996</v>
      </c>
      <c r="U4" s="31">
        <f>SETUP!$G$3 + SUM(Tabela13[[#This Row],[EMOL VD]]:Tabela13[[#This Row],[OUTRAS VD]])</f>
        <v>16.560000000000002</v>
      </c>
      <c r="V4" s="31">
        <f>((([APLICAÇÃO] * 2) - [TAXA VD]) - ([APLICAÇÃO] + [TAXA CP])) * 0.85</f>
        <v>225.75149999999994</v>
      </c>
      <c r="W4" s="32">
        <f>[APLICAÇÃO] - (ROUND([RENDA FIXA] * 0.1,2))</f>
        <v>258.98</v>
      </c>
      <c r="X4" s="33">
        <f>Tabela13[[#This Row],[PERDA MAX]]/Tabela13[[#This Row],[APLICAÇÃO]]</f>
        <v>0.86815728604471865</v>
      </c>
      <c r="Y4" s="34">
        <f>IF([LUCRO] &lt; ([RENDA FIXA]/2), 0.8, 0.8)</f>
        <v>0.8</v>
      </c>
      <c r="Z4" s="31">
        <f>IF([LUCRO] &lt; 0, 0, ROUND([LUCRO]*[NO BOLSO], 2))</f>
        <v>413.58</v>
      </c>
      <c r="AA4" s="31">
        <f>[LUCRO]-[PROTEÇÃO MÊS]</f>
        <v>103.39000000000004</v>
      </c>
      <c r="AB4" s="31">
        <f>[RENDA FIXA] + [PROTEÇÃO MÊS] - [APORTE RF]</f>
        <v>806.82999999999993</v>
      </c>
      <c r="AC4" s="31">
        <f>[TOT RF] + [REINVESTIR] + [APLICAÇÃO]</f>
        <v>1208.53</v>
      </c>
    </row>
    <row r="5" spans="1:29">
      <c r="A5" s="1">
        <v>4</v>
      </c>
      <c r="B5" s="26">
        <v>41091</v>
      </c>
      <c r="C5" s="30">
        <v>806.83</v>
      </c>
      <c r="D5" s="30">
        <v>0</v>
      </c>
      <c r="E5" s="30">
        <v>0</v>
      </c>
      <c r="F5" s="21">
        <v>403.09</v>
      </c>
      <c r="G5" s="22">
        <f>100</f>
        <v>100</v>
      </c>
      <c r="H5" s="22">
        <f>SUMPRODUCT(N([TRADE] &lt;= Tabela13[[#This Row],[TRADE]]), [APORTE]) + SUMPRODUCT(N([TRADE] &lt;= Tabela13[[#This Row],[TRADE]]), [APORTE RF])</f>
        <v>300</v>
      </c>
      <c r="I5" s="22">
        <f>[MONTANTE] - SUMPRODUCT(N([TRADE] &lt;= Tabela13[[#This Row],[TRADE]]), [SAQUE]) + SUMPRODUCT(N([TRADE] &lt; Tabela13[[#This Row],[TRADE]]), [REINVESTIR])</f>
        <v>501.70000000000005</v>
      </c>
      <c r="J5" s="22">
        <f>TRUNC([APLICAÇÃO]  * SETUP!$A$3, 2)</f>
        <v>0.18</v>
      </c>
      <c r="K5" s="22">
        <f>TRUNC([APLICAÇÃO]  * SETUP!$B$3, 2)</f>
        <v>0.13</v>
      </c>
      <c r="L5" s="22">
        <f>TRUNC([APLICAÇÃO]  * SETUP!$C$3, 2)</f>
        <v>0.34</v>
      </c>
      <c r="M5" s="22">
        <f>TRUNC(SETUP!$G$3  * SETUP!$H$3, 2)</f>
        <v>0.28999999999999998</v>
      </c>
      <c r="N5" s="22">
        <f>ROUND(SETUP!$G$3 * SETUP!$I$3, 2)</f>
        <v>0.57999999999999996</v>
      </c>
      <c r="O5" s="22">
        <f>SETUP!$G$3 + SUM(Tabela13[[#This Row],[EMOL CP]]:Tabela13[[#This Row],[OUTRAS CP]])</f>
        <v>16.420000000000002</v>
      </c>
      <c r="P5" s="22">
        <f>TRUNC([APLICAÇÃO] * 2  * SETUP!$A$3, 2)</f>
        <v>0.37</v>
      </c>
      <c r="Q5" s="22">
        <f>TRUNC([APLICAÇÃO] * 2  * SETUP!$B$3, 2)</f>
        <v>0.27</v>
      </c>
      <c r="R5" s="22">
        <f>TRUNC([APLICAÇÃO] * 2  * SETUP!$C$3, 2)</f>
        <v>0.69</v>
      </c>
      <c r="S5" s="22">
        <f>TRUNC(SETUP!$G$3  * SETUP!$H$3, 2)</f>
        <v>0.28999999999999998</v>
      </c>
      <c r="T5" s="22">
        <f>ROUND(SETUP!$G$3 * SETUP!$I$3, 2)</f>
        <v>0.57999999999999996</v>
      </c>
      <c r="U5" s="22">
        <f>SETUP!$G$3 + SUM(Tabela13[[#This Row],[EMOL VD]]:Tabela13[[#This Row],[OUTRAS VD]])</f>
        <v>17.100000000000001</v>
      </c>
      <c r="V5" s="22">
        <f>((([APLICAÇÃO] * 2) - [TAXA VD]) - ([APLICAÇÃO] + [TAXA CP])) * 0.85</f>
        <v>397.95300000000003</v>
      </c>
      <c r="W5" s="23">
        <f>[APLICAÇÃO] - (ROUND([RENDA FIXA] * 0.1,2))</f>
        <v>421.02000000000004</v>
      </c>
      <c r="X5" s="24">
        <f>Tabela13[[#This Row],[PERDA MAX]]/Tabela13[[#This Row],[APLICAÇÃO]]</f>
        <v>0.83918676499900335</v>
      </c>
      <c r="Y5" s="25">
        <f>IF([LUCRO] &lt; ([RENDA FIXA]/2), 0.8, 0.8)</f>
        <v>0.8</v>
      </c>
      <c r="Z5" s="22">
        <f>IF([LUCRO] &lt; 0, 0, ROUND([LUCRO]*[NO BOLSO], 2))</f>
        <v>322.47000000000003</v>
      </c>
      <c r="AA5" s="22">
        <f>[LUCRO]-[PROTEÇÃO MÊS]</f>
        <v>80.619999999999948</v>
      </c>
      <c r="AB5" s="22">
        <f>[RENDA FIXA] + [PROTEÇÃO MÊS] - [APORTE RF]</f>
        <v>1129.3000000000002</v>
      </c>
      <c r="AC5" s="22">
        <f>[TOT RF] + [REINVESTIR] + [APLICAÇÃO]</f>
        <v>1711.6200000000001</v>
      </c>
    </row>
    <row r="6" spans="1:29">
      <c r="A6" s="29">
        <v>5</v>
      </c>
      <c r="B6" s="26">
        <v>41122</v>
      </c>
      <c r="C6" s="30">
        <v>1125.19</v>
      </c>
      <c r="D6" s="30">
        <v>0</v>
      </c>
      <c r="E6" s="30">
        <v>0</v>
      </c>
      <c r="F6" s="21">
        <v>549.98</v>
      </c>
      <c r="G6" s="6">
        <f>100</f>
        <v>100</v>
      </c>
      <c r="H6" s="6">
        <f>SUMPRODUCT(N([TRADE] &lt;= Tabela13[[#This Row],[TRADE]]), [APORTE]) + SUMPRODUCT(N([TRADE] &lt;= Tabela13[[#This Row],[TRADE]]), [APORTE RF])</f>
        <v>400</v>
      </c>
      <c r="I6" s="6">
        <f>[MONTANTE] - SUMPRODUCT(N([TRADE] &lt;= Tabela13[[#This Row],[TRADE]]), [SAQUE]) + SUMPRODUCT(N([TRADE] &lt; Tabela13[[#This Row],[TRADE]]), [REINVESTIR])</f>
        <v>682.31999999999994</v>
      </c>
      <c r="J6" s="6">
        <f>TRUNC([APLICAÇÃO]  * SETUP!$A$3, 2)</f>
        <v>0.25</v>
      </c>
      <c r="K6" s="6">
        <f>TRUNC([APLICAÇÃO]  * SETUP!$B$3, 2)</f>
        <v>0.18</v>
      </c>
      <c r="L6" s="6">
        <f>TRUNC([APLICAÇÃO]  * SETUP!$C$3, 2)</f>
        <v>0.47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SUM(Tabela13[[#This Row],[EMOL CP]]:Tabela13[[#This Row],[OUTRAS CP]])</f>
        <v>16.670000000000002</v>
      </c>
      <c r="P6" s="6">
        <f>TRUNC([APLICAÇÃO] * 2  * SETUP!$A$3, 2)</f>
        <v>0.5</v>
      </c>
      <c r="Q6" s="6">
        <f>TRUNC([APLICAÇÃO] * 2  * SETUP!$B$3, 2)</f>
        <v>0.37</v>
      </c>
      <c r="R6" s="6">
        <f>TRUNC([APLICAÇÃO] * 2  * SETUP!$C$3, 2)</f>
        <v>0.94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SUM(Tabela13[[#This Row],[EMOL VD]]:Tabela13[[#This Row],[OUTRAS VD]])</f>
        <v>17.580000000000002</v>
      </c>
      <c r="V6" s="6">
        <f>((([APLICAÇÃO] * 2) - [TAXA VD]) - ([APLICAÇÃO] + [TAXA CP])) * 0.85</f>
        <v>550.85950000000003</v>
      </c>
      <c r="W6" s="14">
        <f>[APLICAÇÃO] - (ROUND([RENDA FIXA] * 0.1,2))</f>
        <v>569.79999999999995</v>
      </c>
      <c r="X6" s="4">
        <f>Tabela13[[#This Row],[PERDA MAX]]/Tabela13[[#This Row],[APLICAÇÃO]]</f>
        <v>0.83509203892601713</v>
      </c>
      <c r="Y6" s="15">
        <f>IF([LUCRO] &lt; ([RENDA FIXA]/2), 0.8, 0.8)</f>
        <v>0.8</v>
      </c>
      <c r="Z6" s="6">
        <f>IF([LUCRO] &lt; 0, 0, ROUND([LUCRO]*[NO BOLSO], 2))</f>
        <v>439.98</v>
      </c>
      <c r="AA6" s="6">
        <f>[LUCRO]-[PROTEÇÃO MÊS]</f>
        <v>110</v>
      </c>
      <c r="AB6" s="6">
        <f>[RENDA FIXA] + [PROTEÇÃO MÊS] - [APORTE RF]</f>
        <v>1565.17</v>
      </c>
      <c r="AC6" s="6">
        <f>[TOT RF] + [REINVESTIR] + [APLICAÇÃO]</f>
        <v>2357.4899999999998</v>
      </c>
    </row>
    <row r="7" spans="1:29">
      <c r="A7" s="1">
        <v>6</v>
      </c>
      <c r="B7" s="26">
        <v>41153</v>
      </c>
      <c r="C7" s="30">
        <v>1565.17</v>
      </c>
      <c r="D7" s="30">
        <v>0</v>
      </c>
      <c r="E7" s="30">
        <v>0</v>
      </c>
      <c r="F7" s="21">
        <v>727.78</v>
      </c>
      <c r="G7" s="6">
        <f>100</f>
        <v>100</v>
      </c>
      <c r="H7" s="6">
        <f>SUMPRODUCT(N([TRADE] &lt;= Tabela13[[#This Row],[TRADE]]), [APORTE]) + SUMPRODUCT(N([TRADE] &lt;= Tabela13[[#This Row],[TRADE]]), [APORTE RF])</f>
        <v>500</v>
      </c>
      <c r="I7" s="6">
        <f>[MONTANTE] - SUMPRODUCT(N([TRADE] &lt;= Tabela13[[#This Row],[TRADE]]), [SAQUE]) + SUMPRODUCT(N([TRADE] &lt; Tabela13[[#This Row],[TRADE]]), [REINVESTIR])</f>
        <v>892.31999999999994</v>
      </c>
      <c r="J7" s="6">
        <f>TRUNC([APLICAÇÃO]  * SETUP!$A$3, 2)</f>
        <v>0.33</v>
      </c>
      <c r="K7" s="6">
        <f>TRUNC([APLICAÇÃO]  * SETUP!$B$3, 2)</f>
        <v>0.24</v>
      </c>
      <c r="L7" s="6">
        <f>TRUNC([APLICAÇÃO]  * SETUP!$C$3, 2)</f>
        <v>0.62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SUM(Tabela13[[#This Row],[EMOL CP]]:Tabela13[[#This Row],[OUTRAS CP]])</f>
        <v>16.96</v>
      </c>
      <c r="P7" s="6">
        <f>TRUNC([APLICAÇÃO] * 2  * SETUP!$A$3, 2)</f>
        <v>0.66</v>
      </c>
      <c r="Q7" s="6">
        <f>TRUNC([APLICAÇÃO] * 2  * SETUP!$B$3, 2)</f>
        <v>0.49</v>
      </c>
      <c r="R7" s="6">
        <f>TRUNC([APLICAÇÃO] * 2  * SETUP!$C$3, 2)</f>
        <v>1.24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SUM(Tabela13[[#This Row],[EMOL VD]]:Tabela13[[#This Row],[OUTRAS VD]])</f>
        <v>18.16</v>
      </c>
      <c r="V7" s="6">
        <f>((([APLICAÇÃO] * 2) - [TAXA VD]) - ([APLICAÇÃO] + [TAXA CP])) * 0.85</f>
        <v>728.61999999999978</v>
      </c>
      <c r="W7" s="14">
        <f>[APLICAÇÃO] - (ROUND([RENDA FIXA] * 0.1,2))</f>
        <v>735.8</v>
      </c>
      <c r="X7" s="4">
        <f>Tabela13[[#This Row],[PERDA MAX]]/Tabela13[[#This Row],[APLICAÇÃO]]</f>
        <v>0.82459207459207462</v>
      </c>
      <c r="Y7" s="15">
        <f>IF([LUCRO] &lt; ([RENDA FIXA]/2), 0.8, 0.8)</f>
        <v>0.8</v>
      </c>
      <c r="Z7" s="6">
        <f>IF([LUCRO] &lt; 0, 0, ROUND([LUCRO]*[NO BOLSO], 2))</f>
        <v>582.22</v>
      </c>
      <c r="AA7" s="6">
        <f>[LUCRO]-[PROTEÇÃO MÊS]</f>
        <v>145.55999999999995</v>
      </c>
      <c r="AB7" s="6">
        <f>[RENDA FIXA] + [PROTEÇÃO MÊS] - [APORTE RF]</f>
        <v>2147.3900000000003</v>
      </c>
      <c r="AC7" s="6">
        <f>[TOT RF] + [REINVESTIR] + [APLICAÇÃO]</f>
        <v>3185.2700000000004</v>
      </c>
    </row>
    <row r="8" spans="1:29">
      <c r="A8" s="29">
        <v>7</v>
      </c>
      <c r="B8" s="26">
        <v>41183</v>
      </c>
      <c r="C8" s="30">
        <v>2147.39</v>
      </c>
      <c r="D8" s="30">
        <v>0</v>
      </c>
      <c r="E8" s="30">
        <v>0</v>
      </c>
      <c r="F8" s="21">
        <v>935.64</v>
      </c>
      <c r="G8" s="6">
        <f>100</f>
        <v>100</v>
      </c>
      <c r="H8" s="6">
        <f>SUMPRODUCT(N([TRADE] &lt;= Tabela13[[#This Row],[TRADE]]), [APORTE]) + SUMPRODUCT(N([TRADE] &lt;= Tabela13[[#This Row],[TRADE]]), [APORTE RF])</f>
        <v>600</v>
      </c>
      <c r="I8" s="6">
        <f>[MONTANTE] - SUMPRODUCT(N([TRADE] &lt;= Tabela13[[#This Row],[TRADE]]), [SAQUE]) + SUMPRODUCT(N([TRADE] &lt; Tabela13[[#This Row],[TRADE]]), [REINVESTIR])</f>
        <v>1137.8799999999999</v>
      </c>
      <c r="J8" s="6">
        <f>TRUNC([APLICAÇÃO]  * SETUP!$A$3, 2)</f>
        <v>0.42</v>
      </c>
      <c r="K8" s="6">
        <f>TRUNC([APLICAÇÃO]  * SETUP!$B$3, 2)</f>
        <v>0.31</v>
      </c>
      <c r="L8" s="6">
        <f>TRUNC([APLICAÇÃO]  * SETUP!$C$3, 2)</f>
        <v>0.79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SUM(Tabela13[[#This Row],[EMOL CP]]:Tabela13[[#This Row],[OUTRAS CP]])</f>
        <v>17.29</v>
      </c>
      <c r="P8" s="6">
        <f>TRUNC([APLICAÇÃO] * 2  * SETUP!$A$3, 2)</f>
        <v>0.84</v>
      </c>
      <c r="Q8" s="6">
        <f>TRUNC([APLICAÇÃO] * 2  * SETUP!$B$3, 2)</f>
        <v>0.62</v>
      </c>
      <c r="R8" s="6">
        <f>TRUNC([APLICAÇÃO] * 2  * SETUP!$C$3, 2)</f>
        <v>1.58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SUM(Tabela13[[#This Row],[EMOL VD]]:Tabela13[[#This Row],[OUTRAS VD]])</f>
        <v>18.810000000000002</v>
      </c>
      <c r="V8" s="6">
        <f>((([APLICAÇÃO] * 2) - [TAXA VD]) - ([APLICAÇÃO] + [TAXA CP])) * 0.85</f>
        <v>936.51299999999992</v>
      </c>
      <c r="W8" s="14">
        <f>[APLICAÇÃO] - (ROUND([RENDA FIXA] * 0.1,2))</f>
        <v>923.13999999999987</v>
      </c>
      <c r="X8" s="4">
        <f>Tabela13[[#This Row],[PERDA MAX]]/Tabela13[[#This Row],[APLICAÇÃO]]</f>
        <v>0.81128062713115612</v>
      </c>
      <c r="Y8" s="15">
        <f>IF([LUCRO] &lt; ([RENDA FIXA]/2), 0.8, 0.8)</f>
        <v>0.8</v>
      </c>
      <c r="Z8" s="6">
        <f>IF([LUCRO] &lt; 0, 0, ROUND([LUCRO]*[NO BOLSO], 2))</f>
        <v>748.51</v>
      </c>
      <c r="AA8" s="6">
        <f>[LUCRO]-[PROTEÇÃO MÊS]</f>
        <v>187.13</v>
      </c>
      <c r="AB8" s="6">
        <f>[RENDA FIXA] + [PROTEÇÃO MÊS] - [APORTE RF]</f>
        <v>2895.8999999999996</v>
      </c>
      <c r="AC8" s="6">
        <f>[TOT RF] + [REINVESTIR] + [APLICAÇÃO]</f>
        <v>4220.91</v>
      </c>
    </row>
    <row r="9" spans="1:29">
      <c r="A9" s="1">
        <v>8</v>
      </c>
      <c r="B9" s="26">
        <v>41214</v>
      </c>
      <c r="C9" s="30">
        <v>2895.9</v>
      </c>
      <c r="D9" s="30">
        <v>0</v>
      </c>
      <c r="E9" s="30">
        <v>0</v>
      </c>
      <c r="F9" s="21">
        <v>1178.74</v>
      </c>
      <c r="G9" s="22">
        <f>100</f>
        <v>100</v>
      </c>
      <c r="H9" s="22">
        <f>SUMPRODUCT(N([TRADE] &lt;= Tabela13[[#This Row],[TRADE]]), [APORTE]) + SUMPRODUCT(N([TRADE] &lt;= Tabela13[[#This Row],[TRADE]]), [APORTE RF])</f>
        <v>700</v>
      </c>
      <c r="I9" s="22">
        <f>[MONTANTE] - SUMPRODUCT(N([TRADE] &lt;= Tabela13[[#This Row],[TRADE]]), [SAQUE]) + SUMPRODUCT(N([TRADE] &lt; Tabela13[[#This Row],[TRADE]]), [REINVESTIR])</f>
        <v>1425.0099999999998</v>
      </c>
      <c r="J9" s="22">
        <f>TRUNC([APLICAÇÃO]  * SETUP!$A$3, 2)</f>
        <v>0.52</v>
      </c>
      <c r="K9" s="22">
        <f>TRUNC([APLICAÇÃO]  * SETUP!$B$3, 2)</f>
        <v>0.39</v>
      </c>
      <c r="L9" s="22">
        <f>TRUNC([APLICAÇÃO]  * SETUP!$C$3, 2)</f>
        <v>0.99</v>
      </c>
      <c r="M9" s="22">
        <f>TRUNC(SETUP!$G$3  * SETUP!$H$3, 2)</f>
        <v>0.28999999999999998</v>
      </c>
      <c r="N9" s="22">
        <f>ROUND(SETUP!$G$3 * SETUP!$I$3, 2)</f>
        <v>0.57999999999999996</v>
      </c>
      <c r="O9" s="22">
        <f>SETUP!$G$3 + SUM(Tabela13[[#This Row],[EMOL CP]]:Tabela13[[#This Row],[OUTRAS CP]])</f>
        <v>17.670000000000002</v>
      </c>
      <c r="P9" s="22">
        <f>TRUNC([APLICAÇÃO] * 2  * SETUP!$A$3, 2)</f>
        <v>1.05</v>
      </c>
      <c r="Q9" s="22">
        <f>TRUNC([APLICAÇÃO] * 2  * SETUP!$B$3, 2)</f>
        <v>0.78</v>
      </c>
      <c r="R9" s="22">
        <f>TRUNC([APLICAÇÃO] * 2  * SETUP!$C$3, 2)</f>
        <v>1.98</v>
      </c>
      <c r="S9" s="22">
        <f>TRUNC(SETUP!$G$3  * SETUP!$H$3, 2)</f>
        <v>0.28999999999999998</v>
      </c>
      <c r="T9" s="22">
        <f>ROUND(SETUP!$G$3 * SETUP!$I$3, 2)</f>
        <v>0.57999999999999996</v>
      </c>
      <c r="U9" s="22">
        <f>SETUP!$G$3 + SUM(Tabela13[[#This Row],[EMOL VD]]:Tabela13[[#This Row],[OUTRAS VD]])</f>
        <v>19.579999999999998</v>
      </c>
      <c r="V9" s="22">
        <f>((([APLICAÇÃO] * 2) - [TAXA VD]) - ([APLICAÇÃO] + [TAXA CP])) * 0.85</f>
        <v>1179.5959999999998</v>
      </c>
      <c r="W9" s="23">
        <f>[APLICAÇÃO] - (ROUND([RENDA FIXA] * 0.1,2))</f>
        <v>1135.4199999999998</v>
      </c>
      <c r="X9" s="24">
        <f>Tabela13[[#This Row],[PERDA MAX]]/Tabela13[[#This Row],[APLICAÇÃO]]</f>
        <v>0.79678037347106334</v>
      </c>
      <c r="Y9" s="25">
        <f>IF([LUCRO] &lt; ([RENDA FIXA]/2), 0.8, 0.8)</f>
        <v>0.8</v>
      </c>
      <c r="Z9" s="22">
        <f>IF([LUCRO] &lt; 0, 0, ROUND([LUCRO]*[NO BOLSO], 2))</f>
        <v>942.99</v>
      </c>
      <c r="AA9" s="22">
        <f>[LUCRO]-[PROTEÇÃO MÊS]</f>
        <v>235.75</v>
      </c>
      <c r="AB9" s="22">
        <f>[RENDA FIXA] + [PROTEÇÃO MÊS] - [APORTE RF]</f>
        <v>3838.8900000000003</v>
      </c>
      <c r="AC9" s="22">
        <f>[TOT RF] + [REINVESTIR] + [APLICAÇÃO]</f>
        <v>5499.65</v>
      </c>
    </row>
    <row r="10" spans="1:29">
      <c r="A10" s="29">
        <v>9</v>
      </c>
      <c r="B10" s="26">
        <v>41244</v>
      </c>
      <c r="C10" s="30">
        <v>3838.89</v>
      </c>
      <c r="D10" s="30">
        <v>0</v>
      </c>
      <c r="E10" s="30">
        <v>0</v>
      </c>
      <c r="F10" s="21">
        <v>1462.97</v>
      </c>
      <c r="G10" s="22">
        <f>100</f>
        <v>100</v>
      </c>
      <c r="H10" s="22">
        <f>SUMPRODUCT(N([TRADE] &lt;= Tabela13[[#This Row],[TRADE]]), [APORTE]) + SUMPRODUCT(N([TRADE] &lt;= Tabela13[[#This Row],[TRADE]]), [APORTE RF])</f>
        <v>800</v>
      </c>
      <c r="I10" s="22">
        <f>[MONTANTE] - SUMPRODUCT(N([TRADE] &lt;= Tabela13[[#This Row],[TRADE]]), [SAQUE]) + SUMPRODUCT(N([TRADE] &lt; Tabela13[[#This Row],[TRADE]]), [REINVESTIR])</f>
        <v>1760.7599999999998</v>
      </c>
      <c r="J10" s="22">
        <f>TRUNC([APLICAÇÃO]  * SETUP!$A$3, 2)</f>
        <v>0.65</v>
      </c>
      <c r="K10" s="22">
        <f>TRUNC([APLICAÇÃO]  * SETUP!$B$3, 2)</f>
        <v>0.48</v>
      </c>
      <c r="L10" s="22">
        <f>TRUNC([APLICAÇÃO]  * SETUP!$C$3, 2)</f>
        <v>1.22</v>
      </c>
      <c r="M10" s="22">
        <f>TRUNC(SETUP!$G$3  * SETUP!$H$3, 2)</f>
        <v>0.28999999999999998</v>
      </c>
      <c r="N10" s="22">
        <f>ROUND(SETUP!$G$3 * SETUP!$I$3, 2)</f>
        <v>0.57999999999999996</v>
      </c>
      <c r="O10" s="22">
        <f>SETUP!$G$3 + SUM(Tabela13[[#This Row],[EMOL CP]]:Tabela13[[#This Row],[OUTRAS CP]])</f>
        <v>18.12</v>
      </c>
      <c r="P10" s="22">
        <f>TRUNC([APLICAÇÃO] * 2  * SETUP!$A$3, 2)</f>
        <v>1.3</v>
      </c>
      <c r="Q10" s="22">
        <f>TRUNC([APLICAÇÃO] * 2  * SETUP!$B$3, 2)</f>
        <v>0.96</v>
      </c>
      <c r="R10" s="22">
        <f>TRUNC([APLICAÇÃO] * 2  * SETUP!$C$3, 2)</f>
        <v>2.44</v>
      </c>
      <c r="S10" s="22">
        <f>TRUNC(SETUP!$G$3  * SETUP!$H$3, 2)</f>
        <v>0.28999999999999998</v>
      </c>
      <c r="T10" s="22">
        <f>ROUND(SETUP!$G$3 * SETUP!$I$3, 2)</f>
        <v>0.57999999999999996</v>
      </c>
      <c r="U10" s="22">
        <f>SETUP!$G$3 + SUM(Tabela13[[#This Row],[EMOL VD]]:Tabela13[[#This Row],[OUTRAS VD]])</f>
        <v>20.47</v>
      </c>
      <c r="V10" s="22">
        <f>((([APLICAÇÃO] * 2) - [TAXA VD]) - ([APLICAÇÃO] + [TAXA CP])) * 0.85</f>
        <v>1463.8444999999999</v>
      </c>
      <c r="W10" s="23">
        <f>[APLICAÇÃO] - (ROUND([RENDA FIXA] * 0.1,2))</f>
        <v>1376.87</v>
      </c>
      <c r="X10" s="24">
        <f>Tabela13[[#This Row],[PERDA MAX]]/Tabela13[[#This Row],[APLICAÇÃO]]</f>
        <v>0.78197482905109161</v>
      </c>
      <c r="Y10" s="25">
        <f>IF([LUCRO] &lt; ([RENDA FIXA]/2), 0.8, 0.8)</f>
        <v>0.8</v>
      </c>
      <c r="Z10" s="22">
        <f>IF([LUCRO] &lt; 0, 0, ROUND([LUCRO]*[NO BOLSO], 2))</f>
        <v>1170.3800000000001</v>
      </c>
      <c r="AA10" s="22">
        <f>[LUCRO]-[PROTEÇÃO MÊS]</f>
        <v>292.58999999999992</v>
      </c>
      <c r="AB10" s="22">
        <f>[RENDA FIXA] + [PROTEÇÃO MÊS] - [APORTE RF]</f>
        <v>5009.2700000000004</v>
      </c>
      <c r="AC10" s="22">
        <f>[TOT RF] + [REINVESTIR] + [APLICAÇÃO]</f>
        <v>7062.6200000000008</v>
      </c>
    </row>
    <row r="11" spans="1:29">
      <c r="A11" s="1">
        <v>10</v>
      </c>
      <c r="B11" s="26">
        <v>41275</v>
      </c>
      <c r="C11" s="3">
        <v>5009.2700000000004</v>
      </c>
      <c r="D11" s="3"/>
      <c r="E11" s="3"/>
      <c r="F11" s="3">
        <v>1795.33</v>
      </c>
      <c r="G11" s="6">
        <f>100</f>
        <v>100</v>
      </c>
      <c r="H11" s="6">
        <f>SUMPRODUCT(N([TRADE] &lt;= Tabela13[[#This Row],[TRADE]]), [APORTE]) + SUMPRODUCT(N([TRADE] &lt;= Tabela13[[#This Row],[TRADE]]), [APORTE RF])</f>
        <v>900</v>
      </c>
      <c r="I11" s="6">
        <f>[MONTANTE] - SUMPRODUCT(N([TRADE] &lt;= Tabela13[[#This Row],[TRADE]]), [SAQUE]) + SUMPRODUCT(N([TRADE] &lt; Tabela13[[#This Row],[TRADE]]), [REINVESTIR])</f>
        <v>2153.35</v>
      </c>
      <c r="J11" s="6">
        <f>TRUNC([APLICAÇÃO]  * SETUP!$A$3, 2)</f>
        <v>0.79</v>
      </c>
      <c r="K11" s="6">
        <f>TRUNC([APLICAÇÃO]  * SETUP!$B$3, 2)</f>
        <v>0.59</v>
      </c>
      <c r="L11" s="6">
        <f>TRUNC([APLICAÇÃO]  * SETUP!$C$3, 2)</f>
        <v>1.49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SUM(Tabela13[[#This Row],[EMOL CP]]:Tabela13[[#This Row],[OUTRAS CP]])</f>
        <v>18.64</v>
      </c>
      <c r="P11" s="6">
        <f>TRUNC([APLICAÇÃO] * 2  * SETUP!$A$3, 2)</f>
        <v>1.59</v>
      </c>
      <c r="Q11" s="6">
        <f>TRUNC([APLICAÇÃO] * 2  * SETUP!$B$3, 2)</f>
        <v>1.18</v>
      </c>
      <c r="R11" s="6">
        <f>TRUNC([APLICAÇÃO] * 2  * SETUP!$C$3, 2)</f>
        <v>2.99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SUM(Tabela13[[#This Row],[EMOL VD]]:Tabela13[[#This Row],[OUTRAS VD]])</f>
        <v>21.53</v>
      </c>
      <c r="V11" s="6">
        <f>((([APLICAÇÃO] * 2) - [TAXA VD]) - ([APLICAÇÃO] + [TAXA CP])) * 0.85</f>
        <v>1796.2030000000002</v>
      </c>
      <c r="W11" s="14">
        <f>[APLICAÇÃO] - (ROUND([RENDA FIXA] * 0.1,2))</f>
        <v>1652.4199999999998</v>
      </c>
      <c r="X11" s="4">
        <f>Tabela13[[#This Row],[PERDA MAX]]/Tabela13[[#This Row],[APLICAÇÃO]]</f>
        <v>0.76737176956834696</v>
      </c>
      <c r="Y11" s="15">
        <f>IF([LUCRO] &lt; ([RENDA FIXA]/2), 0.8, 0.8)</f>
        <v>0.8</v>
      </c>
      <c r="Z11" s="6">
        <f>IF([LUCRO] &lt; 0, 0, ROUND([LUCRO]*[NO BOLSO], 2))</f>
        <v>1436.26</v>
      </c>
      <c r="AA11" s="6">
        <f>[LUCRO]-[PROTEÇÃO MÊS]</f>
        <v>359.06999999999994</v>
      </c>
      <c r="AB11" s="6">
        <f>[RENDA FIXA] + [PROTEÇÃO MÊS] - [APORTE RF]</f>
        <v>6445.5300000000007</v>
      </c>
      <c r="AC11" s="6">
        <f>[TOT RF] + [REINVESTIR] + [APLICAÇÃO]</f>
        <v>8957.9500000000007</v>
      </c>
    </row>
    <row r="12" spans="1:29">
      <c r="A12" s="29">
        <v>11</v>
      </c>
      <c r="B12" s="26">
        <v>41306</v>
      </c>
      <c r="C12" s="3">
        <v>6445.53</v>
      </c>
      <c r="D12" s="3"/>
      <c r="E12" s="3"/>
      <c r="F12" s="3">
        <v>2183.98</v>
      </c>
      <c r="G12" s="6">
        <f>100</f>
        <v>100</v>
      </c>
      <c r="H12" s="6">
        <f>SUMPRODUCT(N([TRADE] &lt;= Tabela13[[#This Row],[TRADE]]), [APORTE]) + SUMPRODUCT(N([TRADE] &lt;= Tabela13[[#This Row],[TRADE]]), [APORTE RF])</f>
        <v>1000</v>
      </c>
      <c r="I12" s="6">
        <f>[MONTANTE] - SUMPRODUCT(N([TRADE] &lt;= Tabela13[[#This Row],[TRADE]]), [SAQUE]) + SUMPRODUCT(N([TRADE] &lt; Tabela13[[#This Row],[TRADE]]), [REINVESTIR])</f>
        <v>2612.42</v>
      </c>
      <c r="J12" s="6">
        <f>TRUNC([APLICAÇÃO]  * SETUP!$A$3, 2)</f>
        <v>0.96</v>
      </c>
      <c r="K12" s="6">
        <f>TRUNC([APLICAÇÃO]  * SETUP!$B$3, 2)</f>
        <v>0.71</v>
      </c>
      <c r="L12" s="6">
        <f>TRUNC([APLICAÇÃO]  * SETUP!$C$3, 2)</f>
        <v>1.81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SUM(Tabela13[[#This Row],[EMOL CP]]:Tabela13[[#This Row],[OUTRAS CP]])</f>
        <v>19.25</v>
      </c>
      <c r="P12" s="6">
        <f>TRUNC([APLICAÇÃO] * 2  * SETUP!$A$3, 2)</f>
        <v>1.93</v>
      </c>
      <c r="Q12" s="6">
        <f>TRUNC([APLICAÇÃO] * 2  * SETUP!$B$3, 2)</f>
        <v>1.43</v>
      </c>
      <c r="R12" s="6">
        <f>TRUNC([APLICAÇÃO] * 2  * SETUP!$C$3, 2)</f>
        <v>3.63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SUM(Tabela13[[#This Row],[EMOL VD]]:Tabela13[[#This Row],[OUTRAS VD]])</f>
        <v>22.76</v>
      </c>
      <c r="V12" s="6">
        <f>((([APLICAÇÃO] * 2) - [TAXA VD]) - ([APLICAÇÃO] + [TAXA CP])) * 0.85</f>
        <v>2184.8484999999996</v>
      </c>
      <c r="W12" s="14">
        <f>[APLICAÇÃO] - (ROUND([RENDA FIXA] * 0.1,2))</f>
        <v>1967.8700000000001</v>
      </c>
      <c r="X12" s="4">
        <f>Tabela13[[#This Row],[PERDA MAX]]/Tabela13[[#This Row],[APLICAÇÃO]]</f>
        <v>0.75327474142748874</v>
      </c>
      <c r="Y12" s="15">
        <f>IF([LUCRO] &lt; ([RENDA FIXA]/2), 0.8, 0.8)</f>
        <v>0.8</v>
      </c>
      <c r="Z12" s="6">
        <f>IF([LUCRO] &lt; 0, 0, ROUND([LUCRO]*[NO BOLSO], 2))</f>
        <v>1747.18</v>
      </c>
      <c r="AA12" s="6">
        <f>[LUCRO]-[PROTEÇÃO MÊS]</f>
        <v>436.79999999999995</v>
      </c>
      <c r="AB12" s="6">
        <f>[RENDA FIXA] + [PROTEÇÃO MÊS] - [APORTE RF]</f>
        <v>8192.7099999999991</v>
      </c>
      <c r="AC12" s="6">
        <f>[TOT RF] + [REINVESTIR] + [APLICAÇÃO]</f>
        <v>11241.929999999998</v>
      </c>
    </row>
    <row r="13" spans="1:29">
      <c r="A13" s="1">
        <v>12</v>
      </c>
      <c r="B13" s="26">
        <v>41334</v>
      </c>
      <c r="C13" s="3">
        <v>8192.7099999999991</v>
      </c>
      <c r="D13" s="3"/>
      <c r="E13" s="3"/>
      <c r="F13" s="3">
        <v>2638.43</v>
      </c>
      <c r="G13" s="6">
        <f>100</f>
        <v>100</v>
      </c>
      <c r="H13" s="6">
        <f>SUMPRODUCT(N([TRADE] &lt;= Tabela13[[#This Row],[TRADE]]), [APORTE]) + SUMPRODUCT(N([TRADE] &lt;= Tabela13[[#This Row],[TRADE]]), [APORTE RF])</f>
        <v>1100</v>
      </c>
      <c r="I13" s="6">
        <f>[MONTANTE] - SUMPRODUCT(N([TRADE] &lt;= Tabela13[[#This Row],[TRADE]]), [SAQUE]) + SUMPRODUCT(N([TRADE] &lt; Tabela13[[#This Row],[TRADE]]), [REINVESTIR])</f>
        <v>3149.22</v>
      </c>
      <c r="J13" s="6">
        <f>TRUNC([APLICAÇÃO]  * SETUP!$A$3, 2)</f>
        <v>1.1599999999999999</v>
      </c>
      <c r="K13" s="6">
        <f>TRUNC([APLICAÇÃO]  * SETUP!$B$3, 2)</f>
        <v>0.86</v>
      </c>
      <c r="L13" s="6">
        <f>TRUNC([APLICAÇÃO]  * SETUP!$C$3, 2)</f>
        <v>2.1800000000000002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SUM(Tabela13[[#This Row],[EMOL CP]]:Tabela13[[#This Row],[OUTRAS CP]])</f>
        <v>19.97</v>
      </c>
      <c r="P13" s="6">
        <f>TRUNC([APLICAÇÃO] * 2  * SETUP!$A$3, 2)</f>
        <v>2.33</v>
      </c>
      <c r="Q13" s="6">
        <f>TRUNC([APLICAÇÃO] * 2  * SETUP!$B$3, 2)</f>
        <v>1.73</v>
      </c>
      <c r="R13" s="6">
        <f>TRUNC([APLICAÇÃO] * 2  * SETUP!$C$3, 2)</f>
        <v>4.37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SUM(Tabela13[[#This Row],[EMOL VD]]:Tabela13[[#This Row],[OUTRAS VD]])</f>
        <v>24.2</v>
      </c>
      <c r="V13" s="6">
        <f>((([APLICAÇÃO] * 2) - [TAXA VD]) - ([APLICAÇÃO] + [TAXA CP])) * 0.85</f>
        <v>2639.2925</v>
      </c>
      <c r="W13" s="14">
        <f>[APLICAÇÃO] - (ROUND([RENDA FIXA] * 0.1,2))</f>
        <v>2329.9499999999998</v>
      </c>
      <c r="X13" s="4">
        <f>Tabela13[[#This Row],[PERDA MAX]]/Tabela13[[#This Row],[APLICAÇÃO]]</f>
        <v>0.73984986758625948</v>
      </c>
      <c r="Y13" s="15">
        <f>IF([LUCRO] &lt; ([RENDA FIXA]/2), 0.8, 0.8)</f>
        <v>0.8</v>
      </c>
      <c r="Z13" s="6">
        <f>IF([LUCRO] &lt; 0, 0, ROUND([LUCRO]*[NO BOLSO], 2))</f>
        <v>2110.7399999999998</v>
      </c>
      <c r="AA13" s="6">
        <f>[LUCRO]-[PROTEÇÃO MÊS]</f>
        <v>527.69000000000005</v>
      </c>
      <c r="AB13" s="6">
        <f>[RENDA FIXA] + [PROTEÇÃO MÊS] - [APORTE RF]</f>
        <v>10303.449999999999</v>
      </c>
      <c r="AC13" s="6">
        <f>[TOT RF] + [REINVESTIR] + [APLICAÇÃO]</f>
        <v>13980.359999999999</v>
      </c>
    </row>
    <row r="14" spans="1:29">
      <c r="A14" s="29">
        <v>13</v>
      </c>
      <c r="B14" s="26">
        <v>41365</v>
      </c>
      <c r="C14" s="3">
        <v>10303.450000000001</v>
      </c>
      <c r="D14" s="3"/>
      <c r="E14" s="3"/>
      <c r="F14" s="3">
        <v>3169.82</v>
      </c>
      <c r="G14" s="6">
        <f>100</f>
        <v>100</v>
      </c>
      <c r="H14" s="6">
        <f>SUMPRODUCT(N([TRADE] &lt;= Tabela13[[#This Row],[TRADE]]), [APORTE]) + SUMPRODUCT(N([TRADE] &lt;= Tabela13[[#This Row],[TRADE]]), [APORTE RF])</f>
        <v>1200</v>
      </c>
      <c r="I14" s="6">
        <f>[MONTANTE] - SUMPRODUCT(N([TRADE] &lt;= Tabela13[[#This Row],[TRADE]]), [SAQUE]) + SUMPRODUCT(N([TRADE] &lt; Tabela13[[#This Row],[TRADE]]), [REINVESTIR])</f>
        <v>3776.91</v>
      </c>
      <c r="J14" s="6">
        <f>TRUNC([APLICAÇÃO]  * SETUP!$A$3, 2)</f>
        <v>1.39</v>
      </c>
      <c r="K14" s="6">
        <f>TRUNC([APLICAÇÃO]  * SETUP!$B$3, 2)</f>
        <v>1.03</v>
      </c>
      <c r="L14" s="6">
        <f>TRUNC([APLICAÇÃO]  * SETUP!$C$3, 2)</f>
        <v>2.62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SUM(Tabela13[[#This Row],[EMOL CP]]:Tabela13[[#This Row],[OUTRAS CP]])</f>
        <v>20.810000000000002</v>
      </c>
      <c r="P14" s="6">
        <f>TRUNC([APLICAÇÃO] * 2  * SETUP!$A$3, 2)</f>
        <v>2.79</v>
      </c>
      <c r="Q14" s="6">
        <f>TRUNC([APLICAÇÃO] * 2  * SETUP!$B$3, 2)</f>
        <v>2.0699999999999998</v>
      </c>
      <c r="R14" s="6">
        <f>TRUNC([APLICAÇÃO] * 2  * SETUP!$C$3, 2)</f>
        <v>5.24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SUM(Tabela13[[#This Row],[EMOL VD]]:Tabela13[[#This Row],[OUTRAS VD]])</f>
        <v>25.869999999999997</v>
      </c>
      <c r="V14" s="6">
        <f>((([APLICAÇÃO] * 2) - [TAXA VD]) - ([APLICAÇÃO] + [TAXA CP])) * 0.85</f>
        <v>3170.6954999999998</v>
      </c>
      <c r="W14" s="14">
        <f>[APLICAÇÃO] - (ROUND([RENDA FIXA] * 0.1,2))</f>
        <v>2746.56</v>
      </c>
      <c r="X14" s="4">
        <f>Tabela13[[#This Row],[PERDA MAX]]/Tabela13[[#This Row],[APLICAÇÃO]]</f>
        <v>0.72719762980849423</v>
      </c>
      <c r="Y14" s="15">
        <f>IF([LUCRO] &lt; ([RENDA FIXA]/2), 0.8, 0.8)</f>
        <v>0.8</v>
      </c>
      <c r="Z14" s="6">
        <f>IF([LUCRO] &lt; 0, 0, ROUND([LUCRO]*[NO BOLSO], 2))</f>
        <v>2535.86</v>
      </c>
      <c r="AA14" s="6">
        <f>[LUCRO]-[PROTEÇÃO MÊS]</f>
        <v>633.96</v>
      </c>
      <c r="AB14" s="6">
        <f>[RENDA FIXA] + [PROTEÇÃO MÊS] - [APORTE RF]</f>
        <v>12839.310000000001</v>
      </c>
      <c r="AC14" s="6">
        <f>[TOT RF] + [REINVESTIR] + [APLICAÇÃO]</f>
        <v>17250.18</v>
      </c>
    </row>
    <row r="15" spans="1:29">
      <c r="A15" s="1">
        <v>14</v>
      </c>
      <c r="B15" s="26">
        <v>41395</v>
      </c>
      <c r="C15" s="3">
        <v>12839.31</v>
      </c>
      <c r="D15" s="3"/>
      <c r="E15" s="3"/>
      <c r="F15" s="3">
        <v>3791.17</v>
      </c>
      <c r="G15" s="6">
        <f>100</f>
        <v>100</v>
      </c>
      <c r="H15" s="6">
        <f>SUMPRODUCT(N([TRADE] &lt;= Tabela13[[#This Row],[TRADE]]), [APORTE]) + SUMPRODUCT(N([TRADE] &lt;= Tabela13[[#This Row],[TRADE]]), [APORTE RF])</f>
        <v>1300</v>
      </c>
      <c r="I15" s="6">
        <f>[MONTANTE] - SUMPRODUCT(N([TRADE] &lt;= Tabela13[[#This Row],[TRADE]]), [SAQUE]) + SUMPRODUCT(N([TRADE] &lt; Tabela13[[#This Row],[TRADE]]), [REINVESTIR])</f>
        <v>4510.87</v>
      </c>
      <c r="J15" s="6">
        <f>TRUNC([APLICAÇÃO]  * SETUP!$A$3, 2)</f>
        <v>1.66</v>
      </c>
      <c r="K15" s="6">
        <f>TRUNC([APLICAÇÃO]  * SETUP!$B$3, 2)</f>
        <v>1.24</v>
      </c>
      <c r="L15" s="6">
        <f>TRUNC([APLICAÇÃO]  * SETUP!$C$3, 2)</f>
        <v>3.13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SUM(Tabela13[[#This Row],[EMOL CP]]:Tabela13[[#This Row],[OUTRAS CP]])</f>
        <v>21.8</v>
      </c>
      <c r="P15" s="6">
        <f>TRUNC([APLICAÇÃO] * 2  * SETUP!$A$3, 2)</f>
        <v>3.33</v>
      </c>
      <c r="Q15" s="6">
        <f>TRUNC([APLICAÇÃO] * 2  * SETUP!$B$3, 2)</f>
        <v>2.48</v>
      </c>
      <c r="R15" s="6">
        <f>TRUNC([APLICAÇÃO] * 2  * SETUP!$C$3, 2)</f>
        <v>6.27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SUM(Tabela13[[#This Row],[EMOL VD]]:Tabela13[[#This Row],[OUTRAS VD]])</f>
        <v>27.85</v>
      </c>
      <c r="V15" s="6">
        <f>((([APLICAÇÃO] * 2) - [TAXA VD]) - ([APLICAÇÃO] + [TAXA CP])) * 0.85</f>
        <v>3792.0369999999994</v>
      </c>
      <c r="W15" s="14">
        <f>[APLICAÇÃO] - (ROUND([RENDA FIXA] * 0.1,2))</f>
        <v>3226.9399999999996</v>
      </c>
      <c r="X15" s="4">
        <f>Tabela13[[#This Row],[PERDA MAX]]/Tabela13[[#This Row],[APLICAÇÃO]]</f>
        <v>0.71536976237399874</v>
      </c>
      <c r="Y15" s="15">
        <f>IF([LUCRO] &lt; ([RENDA FIXA]/2), 0.8, 0.8)</f>
        <v>0.8</v>
      </c>
      <c r="Z15" s="6">
        <f>IF([LUCRO] &lt; 0, 0, ROUND([LUCRO]*[NO BOLSO], 2))</f>
        <v>3032.94</v>
      </c>
      <c r="AA15" s="6">
        <f>[LUCRO]-[PROTEÇÃO MÊS]</f>
        <v>758.23</v>
      </c>
      <c r="AB15" s="6">
        <f>[RENDA FIXA] + [PROTEÇÃO MÊS] - [APORTE RF]</f>
        <v>15872.25</v>
      </c>
      <c r="AC15" s="6">
        <f>[TOT RF] + [REINVESTIR] + [APLICAÇÃO]</f>
        <v>21141.35</v>
      </c>
    </row>
    <row r="16" spans="1:29">
      <c r="A16" s="29">
        <v>15</v>
      </c>
      <c r="B16" s="26">
        <v>41426</v>
      </c>
      <c r="C16" s="21">
        <v>15872.25</v>
      </c>
      <c r="D16" s="21"/>
      <c r="E16" s="21"/>
      <c r="F16" s="21">
        <v>4517.72</v>
      </c>
      <c r="G16" s="22">
        <f>100</f>
        <v>100</v>
      </c>
      <c r="H16" s="22">
        <f>SUMPRODUCT(N([TRADE] &lt;= Tabela13[[#This Row],[TRADE]]), [APORTE]) + SUMPRODUCT(N([TRADE] &lt;= Tabela13[[#This Row],[TRADE]]), [APORTE RF])</f>
        <v>1400</v>
      </c>
      <c r="I16" s="22">
        <f>[MONTANTE] - SUMPRODUCT(N([TRADE] &lt;= Tabela13[[#This Row],[TRADE]]), [SAQUE]) + SUMPRODUCT(N([TRADE] &lt; Tabela13[[#This Row],[TRADE]]), [REINVESTIR])</f>
        <v>5369.1</v>
      </c>
      <c r="J16" s="22">
        <f>TRUNC([APLICAÇÃO]  * SETUP!$A$3, 2)</f>
        <v>1.98</v>
      </c>
      <c r="K16" s="22">
        <f>TRUNC([APLICAÇÃO]  * SETUP!$B$3, 2)</f>
        <v>1.47</v>
      </c>
      <c r="L16" s="22">
        <f>TRUNC([APLICAÇÃO]  * SETUP!$C$3, 2)</f>
        <v>3.73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SUM(Tabela13[[#This Row],[EMOL CP]]:Tabela13[[#This Row],[OUTRAS CP]])</f>
        <v>22.95</v>
      </c>
      <c r="P16" s="22">
        <f>TRUNC([APLICAÇÃO] * 2  * SETUP!$A$3, 2)</f>
        <v>3.97</v>
      </c>
      <c r="Q16" s="22">
        <f>TRUNC([APLICAÇÃO] * 2  * SETUP!$B$3, 2)</f>
        <v>2.95</v>
      </c>
      <c r="R16" s="22">
        <f>TRUNC([APLICAÇÃO] * 2  * SETUP!$C$3, 2)</f>
        <v>7.46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SUM(Tabela13[[#This Row],[EMOL VD]]:Tabela13[[#This Row],[OUTRAS VD]])</f>
        <v>30.15</v>
      </c>
      <c r="V16" s="22">
        <f>((([APLICAÇÃO] * 2) - [TAXA VD]) - ([APLICAÇÃO] + [TAXA CP])) * 0.85</f>
        <v>4518.6000000000004</v>
      </c>
      <c r="W16" s="23">
        <f>[APLICAÇÃO] - (ROUND([RENDA FIXA] * 0.1,2))</f>
        <v>3781.8700000000003</v>
      </c>
      <c r="X16" s="24">
        <f>Tabela13[[#This Row],[PERDA MAX]]/Tabela13[[#This Row],[APLICAÇÃO]]</f>
        <v>0.70437689743159937</v>
      </c>
      <c r="Y16" s="25">
        <f>IF([LUCRO] &lt; ([RENDA FIXA]/2), 0.8, 0.8)</f>
        <v>0.8</v>
      </c>
      <c r="Z16" s="22">
        <f>IF([LUCRO] &lt; 0, 0, ROUND([LUCRO]*[NO BOLSO], 2))</f>
        <v>3614.18</v>
      </c>
      <c r="AA16" s="22">
        <f>[LUCRO]-[PROTEÇÃO MÊS]</f>
        <v>903.54000000000042</v>
      </c>
      <c r="AB16" s="22">
        <f>[RENDA FIXA] + [PROTEÇÃO MÊS] - [APORTE RF]</f>
        <v>19486.43</v>
      </c>
      <c r="AC16" s="22">
        <f>[TOT RF] + [REINVESTIR] + [APLICAÇÃO]</f>
        <v>25759.07</v>
      </c>
    </row>
    <row r="17" spans="1:29">
      <c r="A17" s="1">
        <v>16</v>
      </c>
      <c r="B17" s="26">
        <v>41456</v>
      </c>
      <c r="C17" s="3">
        <v>19486.43</v>
      </c>
      <c r="D17" s="3"/>
      <c r="E17" s="3"/>
      <c r="F17" s="3">
        <v>5367.32</v>
      </c>
      <c r="G17" s="6">
        <f>100</f>
        <v>100</v>
      </c>
      <c r="H17" s="6">
        <f>SUMPRODUCT(N([TRADE] &lt;= Tabela13[[#This Row],[TRADE]]), [APORTE]) + SUMPRODUCT(N([TRADE] &lt;= Tabela13[[#This Row],[TRADE]]), [APORTE RF])</f>
        <v>1500</v>
      </c>
      <c r="I17" s="6">
        <f>[MONTANTE] - SUMPRODUCT(N([TRADE] &lt;= Tabela13[[#This Row],[TRADE]]), [SAQUE]) + SUMPRODUCT(N([TRADE] &lt; Tabela13[[#This Row],[TRADE]]), [REINVESTIR])</f>
        <v>6372.64</v>
      </c>
      <c r="J17" s="6">
        <f>TRUNC([APLICAÇÃO]  * SETUP!$A$3, 2)</f>
        <v>2.35</v>
      </c>
      <c r="K17" s="6">
        <f>TRUNC([APLICAÇÃO]  * SETUP!$B$3, 2)</f>
        <v>1.75</v>
      </c>
      <c r="L17" s="6">
        <f>TRUNC([APLICAÇÃO]  * SETUP!$C$3, 2)</f>
        <v>4.42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SUM(Tabela13[[#This Row],[EMOL CP]]:Tabela13[[#This Row],[OUTRAS CP]])</f>
        <v>24.29</v>
      </c>
      <c r="P17" s="6">
        <f>TRUNC([APLICAÇÃO] * 2  * SETUP!$A$3, 2)</f>
        <v>4.71</v>
      </c>
      <c r="Q17" s="6">
        <f>TRUNC([APLICAÇÃO] * 2  * SETUP!$B$3, 2)</f>
        <v>3.5</v>
      </c>
      <c r="R17" s="6">
        <f>TRUNC([APLICAÇÃO] * 2  * SETUP!$C$3, 2)</f>
        <v>8.85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SUM(Tabela13[[#This Row],[EMOL VD]]:Tabela13[[#This Row],[OUTRAS VD]])</f>
        <v>32.83</v>
      </c>
      <c r="V17" s="6">
        <f>((([APLICAÇÃO] * 2) - [TAXA VD]) - ([APLICAÇÃO] + [TAXA CP])) * 0.85</f>
        <v>5368.192</v>
      </c>
      <c r="W17" s="14">
        <f>[APLICAÇÃO] - (ROUND([RENDA FIXA] * 0.1,2))</f>
        <v>4424</v>
      </c>
      <c r="X17" s="4">
        <f>Tabela13[[#This Row],[PERDA MAX]]/Tabela13[[#This Row],[APLICAÇÃO]]</f>
        <v>0.69421778101383413</v>
      </c>
      <c r="Y17" s="15">
        <f>IF([LUCRO] &lt; ([RENDA FIXA]/2), 0.8, 0.8)</f>
        <v>0.8</v>
      </c>
      <c r="Z17" s="6">
        <f>IF([LUCRO] &lt; 0, 0, ROUND([LUCRO]*[NO BOLSO], 2))</f>
        <v>4293.8599999999997</v>
      </c>
      <c r="AA17" s="6">
        <f>[LUCRO]-[PROTEÇÃO MÊS]</f>
        <v>1073.46</v>
      </c>
      <c r="AB17" s="6">
        <f>[RENDA FIXA] + [PROTEÇÃO MÊS] - [APORTE RF]</f>
        <v>23780.29</v>
      </c>
      <c r="AC17" s="6">
        <f>[TOT RF] + [REINVESTIR] + [APLICAÇÃO]</f>
        <v>31226.39</v>
      </c>
    </row>
    <row r="18" spans="1:29">
      <c r="A18" s="29">
        <v>17</v>
      </c>
      <c r="B18" s="26">
        <v>41487</v>
      </c>
      <c r="C18" s="3">
        <v>23780.29</v>
      </c>
      <c r="D18" s="3"/>
      <c r="E18" s="3"/>
      <c r="F18" s="3">
        <v>6360.75</v>
      </c>
      <c r="G18" s="6">
        <f>100</f>
        <v>100</v>
      </c>
      <c r="H18" s="6">
        <f>SUMPRODUCT(N([TRADE] &lt;= Tabela13[[#This Row],[TRADE]]), [APORTE]) + SUMPRODUCT(N([TRADE] &lt;= Tabela13[[#This Row],[TRADE]]), [APORTE RF])</f>
        <v>1600</v>
      </c>
      <c r="I18" s="6">
        <f>[MONTANTE] - SUMPRODUCT(N([TRADE] &lt;= Tabela13[[#This Row],[TRADE]]), [SAQUE]) + SUMPRODUCT(N([TRADE] &lt; Tabela13[[#This Row],[TRADE]]), [REINVESTIR])</f>
        <v>7546.1</v>
      </c>
      <c r="J18" s="6">
        <f>TRUNC([APLICAÇÃO]  * SETUP!$A$3, 2)</f>
        <v>2.79</v>
      </c>
      <c r="K18" s="6">
        <f>TRUNC([APLICAÇÃO]  * SETUP!$B$3, 2)</f>
        <v>2.0699999999999998</v>
      </c>
      <c r="L18" s="6">
        <f>TRUNC([APLICAÇÃO]  * SETUP!$C$3, 2)</f>
        <v>5.24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SUM(Tabela13[[#This Row],[EMOL CP]]:Tabela13[[#This Row],[OUTRAS CP]])</f>
        <v>25.869999999999997</v>
      </c>
      <c r="P18" s="6">
        <f>TRUNC([APLICAÇÃO] * 2  * SETUP!$A$3, 2)</f>
        <v>5.58</v>
      </c>
      <c r="Q18" s="6">
        <f>TRUNC([APLICAÇÃO] * 2  * SETUP!$B$3, 2)</f>
        <v>4.1500000000000004</v>
      </c>
      <c r="R18" s="6">
        <f>TRUNC([APLICAÇÃO] * 2  * SETUP!$C$3, 2)</f>
        <v>10.48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SUM(Tabela13[[#This Row],[EMOL VD]]:Tabela13[[#This Row],[OUTRAS VD]])</f>
        <v>35.979999999999997</v>
      </c>
      <c r="V18" s="6">
        <f>((([APLICAÇÃO] * 2) - [TAXA VD]) - ([APLICAÇÃO] + [TAXA CP])) * 0.85</f>
        <v>6361.6125000000002</v>
      </c>
      <c r="W18" s="14">
        <f>[APLICAÇÃO] - (ROUND([RENDA FIXA] * 0.1,2))</f>
        <v>5168.07</v>
      </c>
      <c r="X18" s="4">
        <f>Tabela13[[#This Row],[PERDA MAX]]/Tabela13[[#This Row],[APLICAÇÃO]]</f>
        <v>0.68486635480579361</v>
      </c>
      <c r="Y18" s="15">
        <f>IF([LUCRO] &lt; ([RENDA FIXA]/2), 0.8, 0.8)</f>
        <v>0.8</v>
      </c>
      <c r="Z18" s="6">
        <f>IF([LUCRO] &lt; 0, 0, ROUND([LUCRO]*[NO BOLSO], 2))</f>
        <v>5088.6000000000004</v>
      </c>
      <c r="AA18" s="6">
        <f>[LUCRO]-[PROTEÇÃO MÊS]</f>
        <v>1272.1499999999996</v>
      </c>
      <c r="AB18" s="6">
        <f>[RENDA FIXA] + [PROTEÇÃO MÊS] - [APORTE RF]</f>
        <v>28868.89</v>
      </c>
      <c r="AC18" s="6">
        <f>[TOT RF] + [REINVESTIR] + [APLICAÇÃO]</f>
        <v>37687.14</v>
      </c>
    </row>
    <row r="19" spans="1:29">
      <c r="A19" s="1">
        <v>18</v>
      </c>
      <c r="B19" s="26">
        <v>41518</v>
      </c>
      <c r="C19" s="3">
        <v>28868.89</v>
      </c>
      <c r="D19" s="3"/>
      <c r="E19" s="3"/>
      <c r="F19" s="3">
        <v>7522.39</v>
      </c>
      <c r="G19" s="6">
        <f>100</f>
        <v>100</v>
      </c>
      <c r="H19" s="6">
        <f>SUMPRODUCT(N([TRADE] &lt;= Tabela13[[#This Row],[TRADE]]), [APORTE]) + SUMPRODUCT(N([TRADE] &lt;= Tabela13[[#This Row],[TRADE]]), [APORTE RF])</f>
        <v>1700</v>
      </c>
      <c r="I19" s="6">
        <f>[MONTANTE] - SUMPRODUCT(N([TRADE] &lt;= Tabela13[[#This Row],[TRADE]]), [SAQUE]) + SUMPRODUCT(N([TRADE] &lt; Tabela13[[#This Row],[TRADE]]), [REINVESTIR])</f>
        <v>8918.25</v>
      </c>
      <c r="J19" s="6">
        <f>TRUNC([APLICAÇÃO]  * SETUP!$A$3, 2)</f>
        <v>3.29</v>
      </c>
      <c r="K19" s="6">
        <f>TRUNC([APLICAÇÃO]  * SETUP!$B$3, 2)</f>
        <v>2.4500000000000002</v>
      </c>
      <c r="L19" s="6">
        <f>TRUNC([APLICAÇÃO]  * SETUP!$C$3, 2)</f>
        <v>6.19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SUM(Tabela13[[#This Row],[EMOL CP]]:Tabela13[[#This Row],[OUTRAS CP]])</f>
        <v>27.7</v>
      </c>
      <c r="P19" s="6">
        <f>TRUNC([APLICAÇÃO] * 2  * SETUP!$A$3, 2)</f>
        <v>6.59</v>
      </c>
      <c r="Q19" s="6">
        <f>TRUNC([APLICAÇÃO] * 2  * SETUP!$B$3, 2)</f>
        <v>4.9000000000000004</v>
      </c>
      <c r="R19" s="6">
        <f>TRUNC([APLICAÇÃO] * 2  * SETUP!$C$3, 2)</f>
        <v>12.39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SUM(Tabela13[[#This Row],[EMOL VD]]:Tabela13[[#This Row],[OUTRAS VD]])</f>
        <v>39.65</v>
      </c>
      <c r="V19" s="6">
        <f>((([APLICAÇÃO] * 2) - [TAXA VD]) - ([APLICAÇÃO] + [TAXA CP])) * 0.85</f>
        <v>7523.2649999999976</v>
      </c>
      <c r="W19" s="14">
        <f>[APLICAÇÃO] - (ROUND([RENDA FIXA] * 0.1,2))</f>
        <v>6031.3600000000006</v>
      </c>
      <c r="X19" s="4">
        <f>Tabela13[[#This Row],[PERDA MAX]]/Tabela13[[#This Row],[APLICAÇÃO]]</f>
        <v>0.67629411599809386</v>
      </c>
      <c r="Y19" s="15">
        <f>IF([LUCRO] &lt; ([RENDA FIXA]/2), 0.8, 0.8)</f>
        <v>0.8</v>
      </c>
      <c r="Z19" s="6">
        <f>IF([LUCRO] &lt; 0, 0, ROUND([LUCRO]*[NO BOLSO], 2))</f>
        <v>6017.91</v>
      </c>
      <c r="AA19" s="6">
        <f>[LUCRO]-[PROTEÇÃO MÊS]</f>
        <v>1504.4800000000005</v>
      </c>
      <c r="AB19" s="6">
        <f>[RENDA FIXA] + [PROTEÇÃO MÊS] - [APORTE RF]</f>
        <v>34886.800000000003</v>
      </c>
      <c r="AC19" s="6">
        <f>[TOT RF] + [REINVESTIR] + [APLICAÇÃO]</f>
        <v>45309.530000000006</v>
      </c>
    </row>
    <row r="20" spans="1:29">
      <c r="A20" s="29">
        <v>19</v>
      </c>
      <c r="B20" s="26">
        <v>41548</v>
      </c>
      <c r="C20" s="3">
        <v>34886.800000000003</v>
      </c>
      <c r="D20" s="3"/>
      <c r="E20" s="3"/>
      <c r="F20" s="3">
        <v>8880.7099999999991</v>
      </c>
      <c r="G20" s="6">
        <f>100</f>
        <v>100</v>
      </c>
      <c r="H20" s="6">
        <f>SUMPRODUCT(N([TRADE] &lt;= Tabela13[[#This Row],[TRADE]]), [APORTE]) + SUMPRODUCT(N([TRADE] &lt;= Tabela13[[#This Row],[TRADE]]), [APORTE RF])</f>
        <v>1800</v>
      </c>
      <c r="I20" s="6">
        <f>[MONTANTE] - SUMPRODUCT(N([TRADE] &lt;= Tabela13[[#This Row],[TRADE]]), [SAQUE]) + SUMPRODUCT(N([TRADE] &lt; Tabela13[[#This Row],[TRADE]]), [REINVESTIR])</f>
        <v>10522.73</v>
      </c>
      <c r="J20" s="6">
        <f>TRUNC([APLICAÇÃO]  * SETUP!$A$3, 2)</f>
        <v>3.89</v>
      </c>
      <c r="K20" s="6">
        <f>TRUNC([APLICAÇÃO]  * SETUP!$B$3, 2)</f>
        <v>2.89</v>
      </c>
      <c r="L20" s="6">
        <f>TRUNC([APLICAÇÃO]  * SETUP!$C$3, 2)</f>
        <v>7.31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SUM(Tabela13[[#This Row],[EMOL CP]]:Tabela13[[#This Row],[OUTRAS CP]])</f>
        <v>29.86</v>
      </c>
      <c r="P20" s="6">
        <f>TRUNC([APLICAÇÃO] * 2  * SETUP!$A$3, 2)</f>
        <v>7.78</v>
      </c>
      <c r="Q20" s="6">
        <f>TRUNC([APLICAÇÃO] * 2  * SETUP!$B$3, 2)</f>
        <v>5.78</v>
      </c>
      <c r="R20" s="6">
        <f>TRUNC([APLICAÇÃO] * 2  * SETUP!$C$3, 2)</f>
        <v>14.62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SUM(Tabela13[[#This Row],[EMOL VD]]:Tabela13[[#This Row],[OUTRAS VD]])</f>
        <v>43.949999999999996</v>
      </c>
      <c r="V20" s="6">
        <f>((([APLICAÇÃO] * 2) - [TAXA VD]) - ([APLICAÇÃO] + [TAXA CP])) * 0.85</f>
        <v>8881.5819999999985</v>
      </c>
      <c r="W20" s="14">
        <f>[APLICAÇÃO] - (ROUND([RENDA FIXA] * 0.1,2))</f>
        <v>7034.0499999999993</v>
      </c>
      <c r="X20" s="4">
        <f>Tabela13[[#This Row],[PERDA MAX]]/Tabela13[[#This Row],[APLICAÇÃO]]</f>
        <v>0.66846246173759083</v>
      </c>
      <c r="Y20" s="15">
        <f>IF([LUCRO] &lt; ([RENDA FIXA]/2), 0.8, 0.8)</f>
        <v>0.8</v>
      </c>
      <c r="Z20" s="6">
        <f>IF([LUCRO] &lt; 0, 0, ROUND([LUCRO]*[NO BOLSO], 2))</f>
        <v>7104.57</v>
      </c>
      <c r="AA20" s="6">
        <f>[LUCRO]-[PROTEÇÃO MÊS]</f>
        <v>1776.1399999999994</v>
      </c>
      <c r="AB20" s="6">
        <f>[RENDA FIXA] + [PROTEÇÃO MÊS] - [APORTE RF]</f>
        <v>41991.37</v>
      </c>
      <c r="AC20" s="6">
        <f>[TOT RF] + [REINVESTIR] + [APLICAÇÃO]</f>
        <v>54290.240000000005</v>
      </c>
    </row>
    <row r="21" spans="1:29">
      <c r="A21" s="1">
        <v>20</v>
      </c>
      <c r="B21" s="26">
        <v>41579</v>
      </c>
      <c r="C21" s="3">
        <v>41991.37</v>
      </c>
      <c r="D21" s="3"/>
      <c r="E21" s="3"/>
      <c r="F21" s="3">
        <v>10469.030000000001</v>
      </c>
      <c r="G21" s="6">
        <f>100</f>
        <v>100</v>
      </c>
      <c r="H21" s="6">
        <f>SUMPRODUCT(N([TRADE] &lt;= Tabela13[[#This Row],[TRADE]]), [APORTE]) + SUMPRODUCT(N([TRADE] &lt;= Tabela13[[#This Row],[TRADE]]), [APORTE RF])</f>
        <v>1900</v>
      </c>
      <c r="I21" s="6">
        <f>[MONTANTE] - SUMPRODUCT(N([TRADE] &lt;= Tabela13[[#This Row],[TRADE]]), [SAQUE]) + SUMPRODUCT(N([TRADE] &lt; Tabela13[[#This Row],[TRADE]]), [REINVESTIR])</f>
        <v>12398.869999999999</v>
      </c>
      <c r="J21" s="6">
        <f>TRUNC([APLICAÇÃO]  * SETUP!$A$3, 2)</f>
        <v>4.58</v>
      </c>
      <c r="K21" s="6">
        <f>TRUNC([APLICAÇÃO]  * SETUP!$B$3, 2)</f>
        <v>3.4</v>
      </c>
      <c r="L21" s="6">
        <f>TRUNC([APLICAÇÃO]  * SETUP!$C$3, 2)</f>
        <v>8.61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SUM(Tabela13[[#This Row],[EMOL CP]]:Tabela13[[#This Row],[OUTRAS CP]])</f>
        <v>32.36</v>
      </c>
      <c r="P21" s="6">
        <f>TRUNC([APLICAÇÃO] * 2  * SETUP!$A$3, 2)</f>
        <v>9.17</v>
      </c>
      <c r="Q21" s="6">
        <f>TRUNC([APLICAÇÃO] * 2  * SETUP!$B$3, 2)</f>
        <v>6.81</v>
      </c>
      <c r="R21" s="6">
        <f>TRUNC([APLICAÇÃO] * 2  * SETUP!$C$3, 2)</f>
        <v>17.23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SUM(Tabela13[[#This Row],[EMOL VD]]:Tabela13[[#This Row],[OUTRAS VD]])</f>
        <v>48.98</v>
      </c>
      <c r="V21" s="6">
        <f>((([APLICAÇÃO] * 2) - [TAXA VD]) - ([APLICAÇÃO] + [TAXA CP])) * 0.85</f>
        <v>10469.900499999998</v>
      </c>
      <c r="W21" s="14">
        <f>[APLICAÇÃO] - (ROUND([RENDA FIXA] * 0.1,2))</f>
        <v>8199.73</v>
      </c>
      <c r="X21" s="4">
        <f>Tabela13[[#This Row],[PERDA MAX]]/Tabela13[[#This Row],[APLICAÇÃO]]</f>
        <v>0.66132881464197946</v>
      </c>
      <c r="Y21" s="15">
        <f>IF([LUCRO] &lt; ([RENDA FIXA]/2), 0.8, 0.8)</f>
        <v>0.8</v>
      </c>
      <c r="Z21" s="6">
        <f>IF([LUCRO] &lt; 0, 0, ROUND([LUCRO]*[NO BOLSO], 2))</f>
        <v>8375.2199999999993</v>
      </c>
      <c r="AA21" s="6">
        <f>[LUCRO]-[PROTEÇÃO MÊS]</f>
        <v>2093.8100000000013</v>
      </c>
      <c r="AB21" s="6">
        <f>[RENDA FIXA] + [PROTEÇÃO MÊS] - [APORTE RF]</f>
        <v>50366.590000000004</v>
      </c>
      <c r="AC21" s="6">
        <f>[TOT RF] + [REINVESTIR] + [APLICAÇÃO]</f>
        <v>64859.270000000004</v>
      </c>
    </row>
    <row r="22" spans="1:29">
      <c r="A22" s="29">
        <v>21</v>
      </c>
      <c r="B22" s="26">
        <v>41609</v>
      </c>
      <c r="C22" s="21">
        <v>50366.59</v>
      </c>
      <c r="D22" s="21"/>
      <c r="E22" s="21"/>
      <c r="F22" s="21">
        <v>12326.26</v>
      </c>
      <c r="G22" s="22">
        <f>100</f>
        <v>100</v>
      </c>
      <c r="H22" s="22">
        <f>SUMPRODUCT(N([TRADE] &lt;= Tabela13[[#This Row],[TRADE]]), [APORTE]) + SUMPRODUCT(N([TRADE] &lt;= Tabela13[[#This Row],[TRADE]]), [APORTE RF])</f>
        <v>2000</v>
      </c>
      <c r="I22" s="22">
        <f>[MONTANTE] - SUMPRODUCT(N([TRADE] &lt;= Tabela13[[#This Row],[TRADE]]), [SAQUE]) + SUMPRODUCT(N([TRADE] &lt; Tabela13[[#This Row],[TRADE]]), [REINVESTIR])</f>
        <v>14592.68</v>
      </c>
      <c r="J22" s="22">
        <f>TRUNC([APLICAÇÃO]  * SETUP!$A$3, 2)</f>
        <v>5.39</v>
      </c>
      <c r="K22" s="22">
        <f>TRUNC([APLICAÇÃO]  * SETUP!$B$3, 2)</f>
        <v>4.01</v>
      </c>
      <c r="L22" s="22">
        <f>TRUNC([APLICAÇÃO]  * SETUP!$C$3, 2)</f>
        <v>10.14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SUM(Tabela13[[#This Row],[EMOL CP]]:Tabela13[[#This Row],[OUTRAS CP]])</f>
        <v>35.309999999999995</v>
      </c>
      <c r="P22" s="22">
        <f>TRUNC([APLICAÇÃO] * 2  * SETUP!$A$3, 2)</f>
        <v>10.79</v>
      </c>
      <c r="Q22" s="22">
        <f>TRUNC([APLICAÇÃO] * 2  * SETUP!$B$3, 2)</f>
        <v>8.02</v>
      </c>
      <c r="R22" s="22">
        <f>TRUNC([APLICAÇÃO] * 2  * SETUP!$C$3, 2)</f>
        <v>20.28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SUM(Tabela13[[#This Row],[EMOL VD]]:Tabela13[[#This Row],[OUTRAS VD]])</f>
        <v>54.86</v>
      </c>
      <c r="V22" s="22">
        <f>((([APLICAÇÃO] * 2) - [TAXA VD]) - ([APLICAÇÃO] + [TAXA CP])) * 0.85</f>
        <v>12327.1335</v>
      </c>
      <c r="W22" s="23">
        <f>[APLICAÇÃO] - (ROUND([RENDA FIXA] * 0.1,2))</f>
        <v>9556.02</v>
      </c>
      <c r="X22" s="24">
        <f>Tabela13[[#This Row],[PERDA MAX]]/Tabela13[[#This Row],[APLICAÇÃO]]</f>
        <v>0.65485023998333414</v>
      </c>
      <c r="Y22" s="25">
        <f>IF([LUCRO] &lt; ([RENDA FIXA]/2), 0.8, 0.8)</f>
        <v>0.8</v>
      </c>
      <c r="Z22" s="22">
        <f>IF([LUCRO] &lt; 0, 0, ROUND([LUCRO]*[NO BOLSO], 2))</f>
        <v>9861.01</v>
      </c>
      <c r="AA22" s="22">
        <f>[LUCRO]-[PROTEÇÃO MÊS]</f>
        <v>2465.25</v>
      </c>
      <c r="AB22" s="22">
        <f>[RENDA FIXA] + [PROTEÇÃO MÊS] - [APORTE RF]</f>
        <v>60227.6</v>
      </c>
      <c r="AC22" s="22">
        <f>[TOT RF] + [REINVESTIR] + [APLICAÇÃO]</f>
        <v>77285.53</v>
      </c>
    </row>
    <row r="23" spans="1:29">
      <c r="A23" s="1">
        <v>22</v>
      </c>
      <c r="B23" s="26">
        <v>41640</v>
      </c>
      <c r="C23" s="3"/>
      <c r="D23" s="3"/>
      <c r="E23" s="3"/>
      <c r="G23" s="6">
        <f>100</f>
        <v>100</v>
      </c>
      <c r="H23" s="6">
        <f>SUMPRODUCT(N([TRADE] &lt;= Tabela13[[#This Row],[TRADE]]), [APORTE]) + SUMPRODUCT(N([TRADE] &lt;= Tabela13[[#This Row],[TRADE]]), [APORTE RF])</f>
        <v>2100</v>
      </c>
      <c r="I23" s="6">
        <f>[MONTANTE] - SUMPRODUCT(N([TRADE] &lt;= Tabela13[[#This Row],[TRADE]]), [SAQUE]) + SUMPRODUCT(N([TRADE] &lt; Tabela13[[#This Row],[TRADE]]), [REINVESTIR])</f>
        <v>17157.93</v>
      </c>
      <c r="J23" s="6">
        <f>TRUNC([APLICAÇÃO]  * SETUP!$A$3, 2)</f>
        <v>6.34</v>
      </c>
      <c r="K23" s="6">
        <f>TRUNC([APLICAÇÃO]  * SETUP!$B$3, 2)</f>
        <v>4.71</v>
      </c>
      <c r="L23" s="6">
        <f>TRUNC([APLICAÇÃO]  * SETUP!$C$3, 2)</f>
        <v>11.92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SUM(Tabela13[[#This Row],[EMOL CP]]:Tabela13[[#This Row],[OUTRAS CP]])</f>
        <v>38.739999999999995</v>
      </c>
      <c r="P23" s="6">
        <f>TRUNC([APLICAÇÃO] * 2  * SETUP!$A$3, 2)</f>
        <v>12.69</v>
      </c>
      <c r="Q23" s="6">
        <f>TRUNC([APLICAÇÃO] * 2  * SETUP!$B$3, 2)</f>
        <v>9.43</v>
      </c>
      <c r="R23" s="6">
        <f>TRUNC([APLICAÇÃO] * 2  * SETUP!$C$3, 2)</f>
        <v>23.84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SUM(Tabela13[[#This Row],[EMOL VD]]:Tabela13[[#This Row],[OUTRAS VD]])</f>
        <v>61.72999999999999</v>
      </c>
      <c r="V23" s="6">
        <f>((([APLICAÇÃO] * 2) - [TAXA VD]) - ([APLICAÇÃO] + [TAXA CP])) * 0.85</f>
        <v>14498.840999999995</v>
      </c>
      <c r="W23" s="14">
        <f>[APLICAÇÃO] - (ROUND([RENDA FIXA] * 0.1,2))</f>
        <v>17157.93</v>
      </c>
      <c r="X23" s="4">
        <f>Tabela13[[#This Row],[PERDA MAX]]/Tabela13[[#This Row],[APLICAÇÃO]]</f>
        <v>1</v>
      </c>
      <c r="Y23" s="15">
        <f>IF([LUCRO] &lt; ([RENDA FIXA]/2), 0.8, 0.8)</f>
        <v>0.8</v>
      </c>
      <c r="Z23" s="6">
        <f>IF([LUCRO] &lt; 0, 0, ROUND([LUCRO]*[NO BOLSO], 2))</f>
        <v>0</v>
      </c>
      <c r="AA23" s="6">
        <f>[LUCRO]-[PROTEÇÃO MÊS]</f>
        <v>0</v>
      </c>
      <c r="AB23" s="6">
        <f>[RENDA FIXA] + [PROTEÇÃO MÊS] - [APORTE RF]</f>
        <v>0</v>
      </c>
      <c r="AC23" s="6">
        <f>[TOT RF] + [REINVESTIR] + [APLICAÇÃO]</f>
        <v>17157.93</v>
      </c>
    </row>
    <row r="24" spans="1:29">
      <c r="A24" s="29">
        <v>23</v>
      </c>
      <c r="B24" s="26">
        <v>41671</v>
      </c>
      <c r="C24" s="3"/>
      <c r="D24" s="3"/>
      <c r="E24" s="3"/>
      <c r="G24" s="6">
        <f>100</f>
        <v>100</v>
      </c>
      <c r="H24" s="6">
        <f>SUMPRODUCT(N([TRADE] &lt;= Tabela13[[#This Row],[TRADE]]), [APORTE]) + SUMPRODUCT(N([TRADE] &lt;= Tabela13[[#This Row],[TRADE]]), [APORTE RF])</f>
        <v>2200</v>
      </c>
      <c r="I24" s="6">
        <f>[MONTANTE] - SUMPRODUCT(N([TRADE] &lt;= Tabela13[[#This Row],[TRADE]]), [SAQUE]) + SUMPRODUCT(N([TRADE] &lt; Tabela13[[#This Row],[TRADE]]), [REINVESTIR])</f>
        <v>17257.93</v>
      </c>
      <c r="J24" s="6">
        <f>TRUNC([APLICAÇÃO]  * SETUP!$A$3, 2)</f>
        <v>6.38</v>
      </c>
      <c r="K24" s="6">
        <f>TRUNC([APLICAÇÃO]  * SETUP!$B$3, 2)</f>
        <v>4.74</v>
      </c>
      <c r="L24" s="6">
        <f>TRUNC([APLICAÇÃO]  * SETUP!$C$3, 2)</f>
        <v>11.99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SUM(Tabela13[[#This Row],[EMOL CP]]:Tabela13[[#This Row],[OUTRAS CP]])</f>
        <v>38.879999999999995</v>
      </c>
      <c r="P24" s="6">
        <f>TRUNC([APLICAÇÃO] * 2  * SETUP!$A$3, 2)</f>
        <v>12.77</v>
      </c>
      <c r="Q24" s="6">
        <f>TRUNC([APLICAÇÃO] * 2  * SETUP!$B$3, 2)</f>
        <v>9.49</v>
      </c>
      <c r="R24" s="6">
        <f>TRUNC([APLICAÇÃO] * 2  * SETUP!$C$3, 2)</f>
        <v>23.98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SUM(Tabela13[[#This Row],[EMOL VD]]:Tabela13[[#This Row],[OUTRAS VD]])</f>
        <v>62.009999999999991</v>
      </c>
      <c r="V24" s="6">
        <f>((([APLICAÇÃO] * 2) - [TAXA VD]) - ([APLICAÇÃO] + [TAXA CP])) * 0.85</f>
        <v>14583.483999999997</v>
      </c>
      <c r="W24" s="14">
        <f>[APLICAÇÃO] - (ROUND([RENDA FIXA] * 0.1,2))</f>
        <v>17257.93</v>
      </c>
      <c r="X24" s="4">
        <f>Tabela13[[#This Row],[PERDA MAX]]/Tabela13[[#This Row],[APLICAÇÃO]]</f>
        <v>1</v>
      </c>
      <c r="Y24" s="15">
        <f>IF([LUCRO] &lt; ([RENDA FIXA]/2), 0.8, 0.8)</f>
        <v>0.8</v>
      </c>
      <c r="Z24" s="6">
        <f>IF([LUCRO] &lt; 0, 0, ROUND([LUCRO]*[NO BOLSO], 2))</f>
        <v>0</v>
      </c>
      <c r="AA24" s="6">
        <f>[LUCRO]-[PROTEÇÃO MÊS]</f>
        <v>0</v>
      </c>
      <c r="AB24" s="6">
        <f>[RENDA FIXA] + [PROTEÇÃO MÊS] - [APORTE RF]</f>
        <v>0</v>
      </c>
      <c r="AC24" s="6">
        <f>[TOT RF] + [REINVESTIR] + [APLICAÇÃO]</f>
        <v>17257.93</v>
      </c>
    </row>
    <row r="25" spans="1:29">
      <c r="A25" s="1">
        <v>24</v>
      </c>
      <c r="B25" s="26">
        <v>41699</v>
      </c>
      <c r="C25" s="3"/>
      <c r="D25" s="3"/>
      <c r="E25" s="3"/>
      <c r="G25" s="6">
        <f>100</f>
        <v>100</v>
      </c>
      <c r="H25" s="6">
        <f>SUMPRODUCT(N([TRADE] &lt;= Tabela13[[#This Row],[TRADE]]), [APORTE]) + SUMPRODUCT(N([TRADE] &lt;= Tabela13[[#This Row],[TRADE]]), [APORTE RF])</f>
        <v>2300</v>
      </c>
      <c r="I25" s="6">
        <f>[MONTANTE] - SUMPRODUCT(N([TRADE] &lt;= Tabela13[[#This Row],[TRADE]]), [SAQUE]) + SUMPRODUCT(N([TRADE] &lt; Tabela13[[#This Row],[TRADE]]), [REINVESTIR])</f>
        <v>17357.93</v>
      </c>
      <c r="J25" s="6">
        <f>TRUNC([APLICAÇÃO]  * SETUP!$A$3, 2)</f>
        <v>6.42</v>
      </c>
      <c r="K25" s="6">
        <f>TRUNC([APLICAÇÃO]  * SETUP!$B$3, 2)</f>
        <v>4.7699999999999996</v>
      </c>
      <c r="L25" s="6">
        <f>TRUNC([APLICAÇÃO]  * SETUP!$C$3, 2)</f>
        <v>12.06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SUM(Tabela13[[#This Row],[EMOL CP]]:Tabela13[[#This Row],[OUTRAS CP]])</f>
        <v>39.019999999999996</v>
      </c>
      <c r="P25" s="6">
        <f>TRUNC([APLICAÇÃO] * 2  * SETUP!$A$3, 2)</f>
        <v>12.84</v>
      </c>
      <c r="Q25" s="6">
        <f>TRUNC([APLICAÇÃO] * 2  * SETUP!$B$3, 2)</f>
        <v>9.5399999999999991</v>
      </c>
      <c r="R25" s="6">
        <f>TRUNC([APLICAÇÃO] * 2  * SETUP!$C$3, 2)</f>
        <v>24.12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SUM(Tabela13[[#This Row],[EMOL VD]]:Tabela13[[#This Row],[OUTRAS VD]])</f>
        <v>62.269999999999996</v>
      </c>
      <c r="V25" s="6">
        <f>((([APLICAÇÃO] * 2) - [TAXA VD]) - ([APLICAÇÃO] + [TAXA CP])) * 0.85</f>
        <v>14668.144000000002</v>
      </c>
      <c r="W25" s="14">
        <f>[APLICAÇÃO] - (ROUND([RENDA FIXA] * 0.1,2))</f>
        <v>17357.93</v>
      </c>
      <c r="X25" s="4">
        <f>Tabela13[[#This Row],[PERDA MAX]]/Tabela13[[#This Row],[APLICAÇÃO]]</f>
        <v>1</v>
      </c>
      <c r="Y25" s="15">
        <f>IF([LUCRO] &lt; ([RENDA FIXA]/2), 0.8, 0.8)</f>
        <v>0.8</v>
      </c>
      <c r="Z25" s="6">
        <f>IF([LUCRO] &lt; 0, 0, ROUND([LUCRO]*[NO BOLSO], 2))</f>
        <v>0</v>
      </c>
      <c r="AA25" s="6">
        <f>[LUCRO]-[PROTEÇÃO MÊS]</f>
        <v>0</v>
      </c>
      <c r="AB25" s="6">
        <f>[RENDA FIXA] + [PROTEÇÃO MÊS] - [APORTE RF]</f>
        <v>0</v>
      </c>
      <c r="AC25" s="6">
        <f>[TOT RF] + [REINVESTIR] + [APLICAÇÃO]</f>
        <v>17357.93</v>
      </c>
    </row>
    <row r="26" spans="1:29">
      <c r="A26" s="29">
        <v>25</v>
      </c>
      <c r="B26" s="26">
        <v>41730</v>
      </c>
      <c r="C26" s="3"/>
      <c r="D26" s="3"/>
      <c r="E26" s="3"/>
      <c r="G26" s="6">
        <f>100</f>
        <v>100</v>
      </c>
      <c r="H26" s="6">
        <f>SUMPRODUCT(N([TRADE] &lt;= Tabela13[[#This Row],[TRADE]]), [APORTE]) + SUMPRODUCT(N([TRADE] &lt;= Tabela13[[#This Row],[TRADE]]), [APORTE RF])</f>
        <v>2400</v>
      </c>
      <c r="I26" s="6">
        <f>[MONTANTE] - SUMPRODUCT(N([TRADE] &lt;= Tabela13[[#This Row],[TRADE]]), [SAQUE]) + SUMPRODUCT(N([TRADE] &lt; Tabela13[[#This Row],[TRADE]]), [REINVESTIR])</f>
        <v>17457.93</v>
      </c>
      <c r="J26" s="6">
        <f>TRUNC([APLICAÇÃO]  * SETUP!$A$3, 2)</f>
        <v>6.45</v>
      </c>
      <c r="K26" s="6">
        <f>TRUNC([APLICAÇÃO]  * SETUP!$B$3, 2)</f>
        <v>4.8</v>
      </c>
      <c r="L26" s="6">
        <f>TRUNC([APLICAÇÃO]  * SETUP!$C$3, 2)</f>
        <v>12.13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SUM(Tabela13[[#This Row],[EMOL CP]]:Tabela13[[#This Row],[OUTRAS CP]])</f>
        <v>39.15</v>
      </c>
      <c r="P26" s="6">
        <f>TRUNC([APLICAÇÃO] * 2  * SETUP!$A$3, 2)</f>
        <v>12.91</v>
      </c>
      <c r="Q26" s="6">
        <f>TRUNC([APLICAÇÃO] * 2  * SETUP!$B$3, 2)</f>
        <v>9.6</v>
      </c>
      <c r="R26" s="6">
        <f>TRUNC([APLICAÇÃO] * 2  * SETUP!$C$3, 2)</f>
        <v>24.26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SUM(Tabela13[[#This Row],[EMOL VD]]:Tabela13[[#This Row],[OUTRAS VD]])</f>
        <v>62.539999999999992</v>
      </c>
      <c r="V26" s="6">
        <f>((([APLICAÇÃO] * 2) - [TAXA VD]) - ([APLICAÇÃO] + [TAXA CP])) * 0.85</f>
        <v>14752.803999999998</v>
      </c>
      <c r="W26" s="14">
        <f>[APLICAÇÃO] - (ROUND([RENDA FIXA] * 0.1,2))</f>
        <v>17457.93</v>
      </c>
      <c r="X26" s="4">
        <f>Tabela13[[#This Row],[PERDA MAX]]/Tabela13[[#This Row],[APLICAÇÃO]]</f>
        <v>1</v>
      </c>
      <c r="Y26" s="15">
        <f>IF([LUCRO] &lt; ([RENDA FIXA]/2), 0.8, 0.8)</f>
        <v>0.8</v>
      </c>
      <c r="Z26" s="6">
        <f>IF([LUCRO] &lt; 0, 0, ROUND([LUCRO]*[NO BOLSO], 2))</f>
        <v>0</v>
      </c>
      <c r="AA26" s="6">
        <f>[LUCRO]-[PROTEÇÃO MÊS]</f>
        <v>0</v>
      </c>
      <c r="AB26" s="6">
        <f>[RENDA FIXA] + [PROTEÇÃO MÊS] - [APORTE RF]</f>
        <v>0</v>
      </c>
      <c r="AC26" s="6">
        <f>[TOT RF] + [REINVESTIR] + [APLICAÇÃO]</f>
        <v>17457.93</v>
      </c>
    </row>
    <row r="27" spans="1:29">
      <c r="A27" s="1">
        <v>26</v>
      </c>
      <c r="B27" s="26">
        <v>41760</v>
      </c>
      <c r="C27" s="3"/>
      <c r="D27" s="3"/>
      <c r="E27" s="3"/>
      <c r="G27" s="6">
        <f>100</f>
        <v>100</v>
      </c>
      <c r="H27" s="6">
        <f>SUMPRODUCT(N([TRADE] &lt;= Tabela13[[#This Row],[TRADE]]), [APORTE]) + SUMPRODUCT(N([TRADE] &lt;= Tabela13[[#This Row],[TRADE]]), [APORTE RF])</f>
        <v>2500</v>
      </c>
      <c r="I27" s="6">
        <f>[MONTANTE] - SUMPRODUCT(N([TRADE] &lt;= Tabela13[[#This Row],[TRADE]]), [SAQUE]) + SUMPRODUCT(N([TRADE] &lt; Tabela13[[#This Row],[TRADE]]), [REINVESTIR])</f>
        <v>17557.93</v>
      </c>
      <c r="J27" s="6">
        <f>TRUNC([APLICAÇÃO]  * SETUP!$A$3, 2)</f>
        <v>6.49</v>
      </c>
      <c r="K27" s="6">
        <f>TRUNC([APLICAÇÃO]  * SETUP!$B$3, 2)</f>
        <v>4.82</v>
      </c>
      <c r="L27" s="6">
        <f>TRUNC([APLICAÇÃO]  * SETUP!$C$3, 2)</f>
        <v>12.2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SUM(Tabela13[[#This Row],[EMOL CP]]:Tabela13[[#This Row],[OUTRAS CP]])</f>
        <v>39.279999999999994</v>
      </c>
      <c r="P27" s="6">
        <f>TRUNC([APLICAÇÃO] * 2  * SETUP!$A$3, 2)</f>
        <v>12.99</v>
      </c>
      <c r="Q27" s="6">
        <f>TRUNC([APLICAÇÃO] * 2  * SETUP!$B$3, 2)</f>
        <v>9.65</v>
      </c>
      <c r="R27" s="6">
        <f>TRUNC([APLICAÇÃO] * 2  * SETUP!$C$3, 2)</f>
        <v>24.4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SUM(Tabela13[[#This Row],[EMOL VD]]:Tabela13[[#This Row],[OUTRAS VD]])</f>
        <v>62.809999999999995</v>
      </c>
      <c r="V27" s="6">
        <f>((([APLICAÇÃO] * 2) - [TAXA VD]) - ([APLICAÇÃO] + [TAXA CP])) * 0.85</f>
        <v>14837.464000000004</v>
      </c>
      <c r="W27" s="14">
        <f>[APLICAÇÃO] - (ROUND([RENDA FIXA] * 0.1,2))</f>
        <v>17557.93</v>
      </c>
      <c r="X27" s="4">
        <f>Tabela13[[#This Row],[PERDA MAX]]/Tabela13[[#This Row],[APLICAÇÃO]]</f>
        <v>1</v>
      </c>
      <c r="Y27" s="15">
        <f>IF([LUCRO] &lt; ([RENDA FIXA]/2), 0.8, 0.8)</f>
        <v>0.8</v>
      </c>
      <c r="Z27" s="6">
        <f>IF([LUCRO] &lt; 0, 0, ROUND([LUCRO]*[NO BOLSO], 2))</f>
        <v>0</v>
      </c>
      <c r="AA27" s="6">
        <f>[LUCRO]-[PROTEÇÃO MÊS]</f>
        <v>0</v>
      </c>
      <c r="AB27" s="6">
        <f>[RENDA FIXA] + [PROTEÇÃO MÊS] - [APORTE RF]</f>
        <v>0</v>
      </c>
      <c r="AC27" s="6">
        <f>[TOT RF] + [REINVESTIR] + [APLICAÇÃO]</f>
        <v>17557.93</v>
      </c>
    </row>
    <row r="28" spans="1:29">
      <c r="A28" s="29">
        <v>27</v>
      </c>
      <c r="B28" s="26">
        <v>41791</v>
      </c>
      <c r="C28" s="3"/>
      <c r="D28" s="3"/>
      <c r="E28" s="3"/>
      <c r="G28" s="6">
        <f>100</f>
        <v>100</v>
      </c>
      <c r="H28" s="6">
        <f>SUMPRODUCT(N([TRADE] &lt;= Tabela13[[#This Row],[TRADE]]), [APORTE]) + SUMPRODUCT(N([TRADE] &lt;= Tabela13[[#This Row],[TRADE]]), [APORTE RF])</f>
        <v>2600</v>
      </c>
      <c r="I28" s="6">
        <f>[MONTANTE] - SUMPRODUCT(N([TRADE] &lt;= Tabela13[[#This Row],[TRADE]]), [SAQUE]) + SUMPRODUCT(N([TRADE] &lt; Tabela13[[#This Row],[TRADE]]), [REINVESTIR])</f>
        <v>17657.93</v>
      </c>
      <c r="J28" s="6">
        <f>TRUNC([APLICAÇÃO]  * SETUP!$A$3, 2)</f>
        <v>6.53</v>
      </c>
      <c r="K28" s="6">
        <f>TRUNC([APLICAÇÃO]  * SETUP!$B$3, 2)</f>
        <v>4.8499999999999996</v>
      </c>
      <c r="L28" s="6">
        <f>TRUNC([APLICAÇÃO]  * SETUP!$C$3, 2)</f>
        <v>12.27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SUM(Tabela13[[#This Row],[EMOL CP]]:Tabela13[[#This Row],[OUTRAS CP]])</f>
        <v>39.419999999999995</v>
      </c>
      <c r="P28" s="6">
        <f>TRUNC([APLICAÇÃO] * 2  * SETUP!$A$3, 2)</f>
        <v>13.06</v>
      </c>
      <c r="Q28" s="6">
        <f>TRUNC([APLICAÇÃO] * 2  * SETUP!$B$3, 2)</f>
        <v>9.7100000000000009</v>
      </c>
      <c r="R28" s="6">
        <f>TRUNC([APLICAÇÃO] * 2  * SETUP!$C$3, 2)</f>
        <v>24.54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SUM(Tabela13[[#This Row],[EMOL VD]]:Tabela13[[#This Row],[OUTRAS VD]])</f>
        <v>63.08</v>
      </c>
      <c r="V28" s="6">
        <f>((([APLICAÇÃO] * 2) - [TAXA VD]) - ([APLICAÇÃO] + [TAXA CP])) * 0.85</f>
        <v>14922.1155</v>
      </c>
      <c r="W28" s="14">
        <f>[APLICAÇÃO] - (ROUND([RENDA FIXA] * 0.1,2))</f>
        <v>17657.93</v>
      </c>
      <c r="X28" s="4">
        <f>Tabela13[[#This Row],[PERDA MAX]]/Tabela13[[#This Row],[APLICAÇÃO]]</f>
        <v>1</v>
      </c>
      <c r="Y28" s="15">
        <f>IF([LUCRO] &lt; ([RENDA FIXA]/2), 0.8, 0.8)</f>
        <v>0.8</v>
      </c>
      <c r="Z28" s="6">
        <f>IF([LUCRO] &lt; 0, 0, ROUND([LUCRO]*[NO BOLSO], 2))</f>
        <v>0</v>
      </c>
      <c r="AA28" s="6">
        <f>[LUCRO]-[PROTEÇÃO MÊS]</f>
        <v>0</v>
      </c>
      <c r="AB28" s="6">
        <f>[RENDA FIXA] + [PROTEÇÃO MÊS] - [APORTE RF]</f>
        <v>0</v>
      </c>
      <c r="AC28" s="6">
        <f>[TOT RF] + [REINVESTIR] + [APLICAÇÃO]</f>
        <v>17657.93</v>
      </c>
    </row>
    <row r="29" spans="1:29">
      <c r="A29" s="1">
        <v>28</v>
      </c>
      <c r="B29" s="26">
        <v>41821</v>
      </c>
      <c r="C29" s="3"/>
      <c r="D29" s="3"/>
      <c r="E29" s="3"/>
      <c r="G29" s="6">
        <f>100</f>
        <v>100</v>
      </c>
      <c r="H29" s="6">
        <f>SUMPRODUCT(N([TRADE] &lt;= Tabela13[[#This Row],[TRADE]]), [APORTE]) + SUMPRODUCT(N([TRADE] &lt;= Tabela13[[#This Row],[TRADE]]), [APORTE RF])</f>
        <v>2700</v>
      </c>
      <c r="I29" s="6">
        <f>[MONTANTE] - SUMPRODUCT(N([TRADE] &lt;= Tabela13[[#This Row],[TRADE]]), [SAQUE]) + SUMPRODUCT(N([TRADE] &lt; Tabela13[[#This Row],[TRADE]]), [REINVESTIR])</f>
        <v>17757.93</v>
      </c>
      <c r="J29" s="6">
        <f>TRUNC([APLICAÇÃO]  * SETUP!$A$3, 2)</f>
        <v>6.57</v>
      </c>
      <c r="K29" s="6">
        <f>TRUNC([APLICAÇÃO]  * SETUP!$B$3, 2)</f>
        <v>4.88</v>
      </c>
      <c r="L29" s="6">
        <f>TRUNC([APLICAÇÃO]  * SETUP!$C$3, 2)</f>
        <v>12.34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SUM(Tabela13[[#This Row],[EMOL CP]]:Tabela13[[#This Row],[OUTRAS CP]])</f>
        <v>39.559999999999995</v>
      </c>
      <c r="P29" s="6">
        <f>TRUNC([APLICAÇÃO] * 2  * SETUP!$A$3, 2)</f>
        <v>13.14</v>
      </c>
      <c r="Q29" s="6">
        <f>TRUNC([APLICAÇÃO] * 2  * SETUP!$B$3, 2)</f>
        <v>9.76</v>
      </c>
      <c r="R29" s="6">
        <f>TRUNC([APLICAÇÃO] * 2  * SETUP!$C$3, 2)</f>
        <v>24.68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SUM(Tabela13[[#This Row],[EMOL VD]]:Tabela13[[#This Row],[OUTRAS VD]])</f>
        <v>63.349999999999994</v>
      </c>
      <c r="V29" s="6">
        <f>((([APLICAÇÃO] * 2) - [TAXA VD]) - ([APLICAÇÃO] + [TAXA CP])) * 0.85</f>
        <v>15006.767</v>
      </c>
      <c r="W29" s="14">
        <f>[APLICAÇÃO] - (ROUND([RENDA FIXA] * 0.1,2))</f>
        <v>17757.93</v>
      </c>
      <c r="X29" s="4">
        <f>Tabela13[[#This Row],[PERDA MAX]]/Tabela13[[#This Row],[APLICAÇÃO]]</f>
        <v>1</v>
      </c>
      <c r="Y29" s="15">
        <f>IF([LUCRO] &lt; ([RENDA FIXA]/2), 0.8, 0.8)</f>
        <v>0.8</v>
      </c>
      <c r="Z29" s="6">
        <f>IF([LUCRO] &lt; 0, 0, ROUND([LUCRO]*[NO BOLSO], 2))</f>
        <v>0</v>
      </c>
      <c r="AA29" s="6">
        <f>[LUCRO]-[PROTEÇÃO MÊS]</f>
        <v>0</v>
      </c>
      <c r="AB29" s="6">
        <f>[RENDA FIXA] + [PROTEÇÃO MÊS] - [APORTE RF]</f>
        <v>0</v>
      </c>
      <c r="AC29" s="6">
        <f>[TOT RF] + [REINVESTIR] + [APLICAÇÃO]</f>
        <v>17757.93</v>
      </c>
    </row>
    <row r="30" spans="1:29">
      <c r="A30" s="29">
        <v>29</v>
      </c>
      <c r="B30" s="26">
        <v>41852</v>
      </c>
      <c r="C30" s="21"/>
      <c r="D30" s="21"/>
      <c r="E30" s="21"/>
      <c r="F30" s="21"/>
      <c r="G30" s="22">
        <f>100</f>
        <v>100</v>
      </c>
      <c r="H30" s="22">
        <f>SUMPRODUCT(N([TRADE] &lt;= Tabela13[[#This Row],[TRADE]]), [APORTE]) + SUMPRODUCT(N([TRADE] &lt;= Tabela13[[#This Row],[TRADE]]), [APORTE RF])</f>
        <v>2800</v>
      </c>
      <c r="I30" s="22">
        <f>[MONTANTE] - SUMPRODUCT(N([TRADE] &lt;= Tabela13[[#This Row],[TRADE]]), [SAQUE]) + SUMPRODUCT(N([TRADE] &lt; Tabela13[[#This Row],[TRADE]]), [REINVESTIR])</f>
        <v>17857.93</v>
      </c>
      <c r="J30" s="22">
        <f>TRUNC([APLICAÇÃO]  * SETUP!$A$3, 2)</f>
        <v>6.6</v>
      </c>
      <c r="K30" s="22">
        <f>TRUNC([APLICAÇÃO]  * SETUP!$B$3, 2)</f>
        <v>4.91</v>
      </c>
      <c r="L30" s="22">
        <f>TRUNC([APLICAÇÃO]  * SETUP!$C$3, 2)</f>
        <v>12.41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SUM(Tabela13[[#This Row],[EMOL CP]]:Tabela13[[#This Row],[OUTRAS CP]])</f>
        <v>39.69</v>
      </c>
      <c r="P30" s="22">
        <f>TRUNC([APLICAÇÃO] * 2  * SETUP!$A$3, 2)</f>
        <v>13.21</v>
      </c>
      <c r="Q30" s="22">
        <f>TRUNC([APLICAÇÃO] * 2  * SETUP!$B$3, 2)</f>
        <v>9.82</v>
      </c>
      <c r="R30" s="22">
        <f>TRUNC([APLICAÇÃO] * 2  * SETUP!$C$3, 2)</f>
        <v>24.82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SUM(Tabela13[[#This Row],[EMOL VD]]:Tabela13[[#This Row],[OUTRAS VD]])</f>
        <v>63.62</v>
      </c>
      <c r="V30" s="22">
        <f>((([APLICAÇÃO] * 2) - [TAXA VD]) - ([APLICAÇÃO] + [TAXA CP])) * 0.85</f>
        <v>15091.426999999998</v>
      </c>
      <c r="W30" s="23">
        <f>[APLICAÇÃO] - (ROUND([RENDA FIXA] * 0.1,2))</f>
        <v>17857.93</v>
      </c>
      <c r="X30" s="24">
        <f>Tabela13[[#This Row],[PERDA MAX]]/Tabela13[[#This Row],[APLICAÇÃO]]</f>
        <v>1</v>
      </c>
      <c r="Y30" s="25">
        <f>IF([LUCRO] &lt; ([RENDA FIXA]/2), 0.8, 0.8)</f>
        <v>0.8</v>
      </c>
      <c r="Z30" s="22">
        <f>IF([LUCRO] &lt; 0, 0, ROUND([LUCRO]*[NO BOLSO], 2))</f>
        <v>0</v>
      </c>
      <c r="AA30" s="22">
        <f>[LUCRO]-[PROTEÇÃO MÊS]</f>
        <v>0</v>
      </c>
      <c r="AB30" s="22">
        <f>[RENDA FIXA] + [PROTEÇÃO MÊS] - [APORTE RF]</f>
        <v>0</v>
      </c>
      <c r="AC30" s="22">
        <f>[TOT RF] + [REINVESTIR] + [APLICAÇÃO]</f>
        <v>17857.93</v>
      </c>
    </row>
    <row r="31" spans="1:29">
      <c r="A31" s="1" t="s">
        <v>37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7"/>
      <c r="Z31" s="17"/>
      <c r="AA31" s="17"/>
      <c r="AB31" s="17"/>
      <c r="AC31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23"/>
  <sheetViews>
    <sheetView workbookViewId="0">
      <selection activeCell="X27" sqref="X27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2000</v>
      </c>
      <c r="I2" s="3">
        <f>[MONTANTE] - SUMPRODUCT(N([TRADE] &lt;= Tabela134[[#This Row],[TRADE]]), [SAQUE]) + SUMPRODUCT(N([TRADE] &lt; Tabela134[[#This Row],[TRADE]]), [REINVESTIR])</f>
        <v>2000</v>
      </c>
      <c r="J2" s="3">
        <f>TRUNC([APLICAÇÃO]  * SETUP!$A$3, 2)</f>
        <v>0.74</v>
      </c>
      <c r="K2" s="3">
        <f>TRUNC([APLICAÇÃO]  * SETUP!$B$3, 2)</f>
        <v>0.55000000000000004</v>
      </c>
      <c r="L2" s="3">
        <f>TRUNC([APLICAÇÃO]  * SETUP!$C$3, 2)</f>
        <v>1.39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18.45</v>
      </c>
      <c r="P2" s="3">
        <f>TRUNC([APLICAÇÃO] * 2  * SETUP!$A$3, 2)</f>
        <v>1.48</v>
      </c>
      <c r="Q2" s="3">
        <f>TRUNC([APLICAÇÃO] * 2  * SETUP!$B$3, 2)</f>
        <v>1.1000000000000001</v>
      </c>
      <c r="R2" s="3">
        <f>TRUNC([APLICAÇÃO] * 2  * SETUP!$C$3, 2)</f>
        <v>2.78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21.13</v>
      </c>
      <c r="V2" s="3">
        <f>((([APLICAÇÃO] * 2) - [TAXA VD]) - ([APLICAÇÃO] + [TAXA CP])) * 0.85</f>
        <v>1666.3569999999997</v>
      </c>
      <c r="W2" s="11">
        <f>[APLICAÇÃO] - (ROUND([RENDA FIXA] * 0.1,2))</f>
        <v>2000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2000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2000</v>
      </c>
      <c r="I3" s="6">
        <f>[MONTANTE] - SUMPRODUCT(N([TRADE] &lt;= Tabela134[[#This Row],[TRADE]]), [SAQUE]) + SUMPRODUCT(N([TRADE] &lt; Tabela134[[#This Row],[TRADE]]), [REINVESTIR])</f>
        <v>2000</v>
      </c>
      <c r="J3" s="6">
        <f>TRUNC([APLICAÇÃO]  * SETUP!$A$3, 2)</f>
        <v>0.74</v>
      </c>
      <c r="K3" s="6">
        <f>TRUNC([APLICAÇÃO]  * SETUP!$B$3, 2)</f>
        <v>0.55000000000000004</v>
      </c>
      <c r="L3" s="6">
        <f>TRUNC([APLICAÇÃO]  * SETUP!$C$3, 2)</f>
        <v>1.39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18.45</v>
      </c>
      <c r="P3" s="6">
        <f>TRUNC([APLICAÇÃO] * 2  * SETUP!$A$3, 2)</f>
        <v>1.48</v>
      </c>
      <c r="Q3" s="6">
        <f>TRUNC([APLICAÇÃO] * 2  * SETUP!$B$3, 2)</f>
        <v>1.1000000000000001</v>
      </c>
      <c r="R3" s="6">
        <f>TRUNC([APLICAÇÃO] * 2  * SETUP!$C$3, 2)</f>
        <v>2.78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21.13</v>
      </c>
      <c r="V3" s="6">
        <f>((([APLICAÇÃO] * 2) - [TAXA VD]) - ([APLICAÇÃO] + [TAXA CP])) * 0.85</f>
        <v>1666.3569999999997</v>
      </c>
      <c r="W3" s="14">
        <f>[APLICAÇÃO] - (ROUND([RENDA FIXA] * 0.1,2))</f>
        <v>2000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1940.21</v>
      </c>
    </row>
    <row r="4" spans="1:29">
      <c r="A4" s="29"/>
      <c r="B4" s="37"/>
      <c r="C4" s="30"/>
      <c r="D4" s="30"/>
      <c r="E4" s="30"/>
      <c r="F4" s="30"/>
      <c r="G4" s="31">
        <f>100</f>
        <v>100</v>
      </c>
      <c r="H4" s="31">
        <f>SUMPRODUCT(N([TRADE] &lt;= Tabela134[[#This Row],[TRADE]]), [APORTE]) + SUMPRODUCT(N([TRADE] &lt;= Tabela134[[#This Row],[TRADE]]), [APORTE RF])</f>
        <v>1900</v>
      </c>
      <c r="I4" s="31">
        <f>[MONTANTE] - SUMPRODUCT(N([TRADE] &lt;= Tabela134[[#This Row],[TRADE]]), [SAQUE]) + SUMPRODUCT(N([TRADE] &lt; Tabela134[[#This Row],[TRADE]]), [REINVESTIR])</f>
        <v>1900</v>
      </c>
      <c r="J4" s="31">
        <f>TRUNC([APLICAÇÃO]  * SETUP!$A$3, 2)</f>
        <v>0.7</v>
      </c>
      <c r="K4" s="31">
        <f>TRUNC([APLICAÇÃO]  * SETUP!$B$3, 2)</f>
        <v>0.52</v>
      </c>
      <c r="L4" s="31">
        <f>TRUNC([APLICAÇÃO]  * SETUP!$C$3, 2)</f>
        <v>1.32</v>
      </c>
      <c r="M4" s="31">
        <f>TRUNC(SETUP!$G$3  * SETUP!$H$3, 2)</f>
        <v>0.28999999999999998</v>
      </c>
      <c r="N4" s="31">
        <f>ROUND(SETUP!$G$3 * SETUP!$I$3, 2)</f>
        <v>0.57999999999999996</v>
      </c>
      <c r="O4" s="31">
        <f>SETUP!$G$3 + SUM(Tabela134[[#This Row],[EMOL CP]]:Tabela134[[#This Row],[OUTRAS CP]])</f>
        <v>18.310000000000002</v>
      </c>
      <c r="P4" s="31">
        <f>TRUNC([APLICAÇÃO] * 2  * SETUP!$A$3, 2)</f>
        <v>1.4</v>
      </c>
      <c r="Q4" s="31">
        <f>TRUNC([APLICAÇÃO] * 2  * SETUP!$B$3, 2)</f>
        <v>1.04</v>
      </c>
      <c r="R4" s="31">
        <f>TRUNC([APLICAÇÃO] * 2  * SETUP!$C$3, 2)</f>
        <v>2.64</v>
      </c>
      <c r="S4" s="31">
        <f>TRUNC(SETUP!$G$3  * SETUP!$H$3, 2)</f>
        <v>0.28999999999999998</v>
      </c>
      <c r="T4" s="31">
        <f>ROUND(SETUP!$G$3 * SETUP!$I$3, 2)</f>
        <v>0.57999999999999996</v>
      </c>
      <c r="U4" s="31">
        <f>SETUP!$G$3 + SUM(Tabela134[[#This Row],[EMOL VD]]:Tabela134[[#This Row],[OUTRAS VD]])</f>
        <v>20.85</v>
      </c>
      <c r="V4" s="31">
        <f>((([APLICAÇÃO] * 2) - [TAXA VD]) - ([APLICAÇÃO] + [TAXA CP])) * 0.85</f>
        <v>1581.7140000000002</v>
      </c>
      <c r="W4" s="32">
        <f>[APLICAÇÃO] - (ROUND([RENDA FIXA] * 0.1,2))</f>
        <v>1900</v>
      </c>
      <c r="X4" s="33">
        <f>Tabela134[[#This Row],[PERDA MAX]]/Tabela134[[#This Row],[APLICAÇÃO]]</f>
        <v>1</v>
      </c>
      <c r="Y4" s="34">
        <f>IF([LUCRO] &lt; ([RENDA FIXA]/2), 0.8, 0.8)</f>
        <v>0.8</v>
      </c>
      <c r="Z4" s="31">
        <f>IF([LUCRO] &lt; 0, 0, ROUND([LUCRO]*[NO BOLSO], 2))</f>
        <v>0</v>
      </c>
      <c r="AA4" s="31">
        <f>[LUCRO]-[PROTEÇÃO MÊS]</f>
        <v>0</v>
      </c>
      <c r="AB4" s="31">
        <f>[RENDA FIXA] + [PROTEÇÃO MÊS] - [APORTE RF]</f>
        <v>0</v>
      </c>
      <c r="AC4" s="31">
        <f>[TOT RF] + [REINVESTIR] + [APLICAÇÃO]</f>
        <v>1900</v>
      </c>
    </row>
    <row r="5" spans="1:29">
      <c r="B5" s="45"/>
      <c r="C5" s="3"/>
      <c r="D5" s="3"/>
      <c r="E5" s="3"/>
      <c r="G5" s="6">
        <f>100</f>
        <v>100</v>
      </c>
      <c r="H5" s="6">
        <f>SUMPRODUCT(N([TRADE] &lt;= Tabela134[[#This Row],[TRADE]]), [APORTE]) + SUMPRODUCT(N([TRADE] &lt;= Tabela134[[#This Row],[TRADE]]), [APORTE RF])</f>
        <v>1900</v>
      </c>
      <c r="I5" s="6">
        <f>[MONTANTE] - SUMPRODUCT(N([TRADE] &lt;= Tabela134[[#This Row],[TRADE]]), [SAQUE]) + SUMPRODUCT(N([TRADE] &lt; Tabela134[[#This Row],[TRADE]]), [REINVESTIR])</f>
        <v>1900</v>
      </c>
      <c r="J5" s="6">
        <f>TRUNC([APLICAÇÃO]  * SETUP!$A$3, 2)</f>
        <v>0.7</v>
      </c>
      <c r="K5" s="6">
        <f>TRUNC([APLICAÇÃO]  * SETUP!$B$3, 2)</f>
        <v>0.52</v>
      </c>
      <c r="L5" s="6">
        <f>TRUNC([APLICAÇÃO]  * SETUP!$C$3, 2)</f>
        <v>1.32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18.310000000000002</v>
      </c>
      <c r="P5" s="6">
        <f>TRUNC([APLICAÇÃO] * 2  * SETUP!$A$3, 2)</f>
        <v>1.4</v>
      </c>
      <c r="Q5" s="6">
        <f>TRUNC([APLICAÇÃO] * 2  * SETUP!$B$3, 2)</f>
        <v>1.04</v>
      </c>
      <c r="R5" s="6">
        <f>TRUNC([APLICAÇÃO] * 2  * SETUP!$C$3, 2)</f>
        <v>2.64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20.85</v>
      </c>
      <c r="V5" s="6">
        <f>((([APLICAÇÃO] * 2) - [TAXA VD]) - ([APLICAÇÃO] + [TAXA CP])) * 0.85</f>
        <v>1581.7140000000002</v>
      </c>
      <c r="W5" s="14">
        <f>[APLICAÇÃO] - (ROUND([RENDA FIXA] * 0.1,2))</f>
        <v>1900</v>
      </c>
      <c r="X5" s="4">
        <f>Tabela134[[#This Row],[PERDA MAX]]/Tabela134[[#This Row],[APLICAÇÃO]]</f>
        <v>1</v>
      </c>
      <c r="Y5" s="15">
        <f>IF([LUCRO] &lt; ([RENDA FIXA]/2), 0.8, 0.8)</f>
        <v>0.8</v>
      </c>
      <c r="Z5" s="6">
        <f>IF([LUCRO] &lt; 0, 0, ROUND([LUCRO]*[NO BOLSO], 2))</f>
        <v>0</v>
      </c>
      <c r="AA5" s="6">
        <f>[LUCRO]-[PROTEÇÃO MÊS]</f>
        <v>0</v>
      </c>
      <c r="AB5" s="6">
        <f>[RENDA FIXA] + [PROTEÇÃO MÊS] - [APORTE RF]</f>
        <v>0</v>
      </c>
      <c r="AC5" s="6">
        <f>[TOT RF] + [REINVESTIR] + [APLICAÇÃO]</f>
        <v>1900</v>
      </c>
    </row>
    <row r="6" spans="1:29">
      <c r="B6" s="45"/>
      <c r="C6" s="3"/>
      <c r="D6" s="3"/>
      <c r="E6" s="3"/>
      <c r="G6" s="6">
        <f>100</f>
        <v>100</v>
      </c>
      <c r="H6" s="6">
        <f>SUMPRODUCT(N([TRADE] &lt;= Tabela134[[#This Row],[TRADE]]), [APORTE]) + SUMPRODUCT(N([TRADE] &lt;= Tabela134[[#This Row],[TRADE]]), [APORTE RF])</f>
        <v>1900</v>
      </c>
      <c r="I6" s="6">
        <f>[MONTANTE] - SUMPRODUCT(N([TRADE] &lt;= Tabela134[[#This Row],[TRADE]]), [SAQUE]) + SUMPRODUCT(N([TRADE] &lt; Tabela134[[#This Row],[TRADE]]), [REINVESTIR])</f>
        <v>1900</v>
      </c>
      <c r="J6" s="6">
        <f>TRUNC([APLICAÇÃO]  * SETUP!$A$3, 2)</f>
        <v>0.7</v>
      </c>
      <c r="K6" s="6">
        <f>TRUNC([APLICAÇÃO]  * SETUP!$B$3, 2)</f>
        <v>0.52</v>
      </c>
      <c r="L6" s="6">
        <f>TRUNC([APLICAÇÃO]  * SETUP!$C$3, 2)</f>
        <v>1.32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18.310000000000002</v>
      </c>
      <c r="P6" s="6">
        <f>TRUNC([APLICAÇÃO] * 2  * SETUP!$A$3, 2)</f>
        <v>1.4</v>
      </c>
      <c r="Q6" s="6">
        <f>TRUNC([APLICAÇÃO] * 2  * SETUP!$B$3, 2)</f>
        <v>1.04</v>
      </c>
      <c r="R6" s="6">
        <f>TRUNC([APLICAÇÃO] * 2  * SETUP!$C$3, 2)</f>
        <v>2.64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20.85</v>
      </c>
      <c r="V6" s="6">
        <f>((([APLICAÇÃO] * 2) - [TAXA VD]) - ([APLICAÇÃO] + [TAXA CP])) * 0.85</f>
        <v>1581.7140000000002</v>
      </c>
      <c r="W6" s="14">
        <f>[APLICAÇÃO] - (ROUND([RENDA FIXA] * 0.1,2))</f>
        <v>1900</v>
      </c>
      <c r="X6" s="4">
        <f>Tabela134[[#This Row],[PERDA MAX]]/Tabela134[[#This Row],[APLICAÇÃO]]</f>
        <v>1</v>
      </c>
      <c r="Y6" s="15">
        <f>IF([LUCRO] &lt; ([RENDA FIXA]/2), 0.8, 0.8)</f>
        <v>0.8</v>
      </c>
      <c r="Z6" s="6">
        <f>IF([LUCRO] &lt; 0, 0, ROUND([LUCRO]*[NO BOLSO], 2))</f>
        <v>0</v>
      </c>
      <c r="AA6" s="6">
        <f>[LUCRO]-[PROTEÇÃO MÊS]</f>
        <v>0</v>
      </c>
      <c r="AB6" s="6">
        <f>[RENDA FIXA] + [PROTEÇÃO MÊS] - [APORTE RF]</f>
        <v>0</v>
      </c>
      <c r="AC6" s="6">
        <f>[TOT RF] + [REINVESTIR] + [APLICAÇÃO]</f>
        <v>1900</v>
      </c>
    </row>
    <row r="7" spans="1:29">
      <c r="B7" s="45"/>
      <c r="C7" s="3"/>
      <c r="D7" s="3"/>
      <c r="E7" s="3"/>
      <c r="G7" s="6">
        <f>100</f>
        <v>100</v>
      </c>
      <c r="H7" s="6">
        <f>SUMPRODUCT(N([TRADE] &lt;= Tabela134[[#This Row],[TRADE]]), [APORTE]) + SUMPRODUCT(N([TRADE] &lt;= Tabela134[[#This Row],[TRADE]]), [APORTE RF])</f>
        <v>1900</v>
      </c>
      <c r="I7" s="6">
        <f>[MONTANTE] - SUMPRODUCT(N([TRADE] &lt;= Tabela134[[#This Row],[TRADE]]), [SAQUE]) + SUMPRODUCT(N([TRADE] &lt; Tabela134[[#This Row],[TRADE]]), [REINVESTIR])</f>
        <v>1900</v>
      </c>
      <c r="J7" s="6">
        <f>TRUNC([APLICAÇÃO]  * SETUP!$A$3, 2)</f>
        <v>0.7</v>
      </c>
      <c r="K7" s="6">
        <f>TRUNC([APLICAÇÃO]  * SETUP!$B$3, 2)</f>
        <v>0.52</v>
      </c>
      <c r="L7" s="6">
        <f>TRUNC([APLICAÇÃO]  * SETUP!$C$3, 2)</f>
        <v>1.32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18.310000000000002</v>
      </c>
      <c r="P7" s="6">
        <f>TRUNC([APLICAÇÃO] * 2  * SETUP!$A$3, 2)</f>
        <v>1.4</v>
      </c>
      <c r="Q7" s="6">
        <f>TRUNC([APLICAÇÃO] * 2  * SETUP!$B$3, 2)</f>
        <v>1.04</v>
      </c>
      <c r="R7" s="6">
        <f>TRUNC([APLICAÇÃO] * 2  * SETUP!$C$3, 2)</f>
        <v>2.64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20.85</v>
      </c>
      <c r="V7" s="6">
        <f>((([APLICAÇÃO] * 2) - [TAXA VD]) - ([APLICAÇÃO] + [TAXA CP])) * 0.85</f>
        <v>1581.7140000000002</v>
      </c>
      <c r="W7" s="14">
        <f>[APLICAÇÃO] - (ROUND([RENDA FIXA] * 0.1,2))</f>
        <v>1900</v>
      </c>
      <c r="X7" s="4">
        <f>Tabela134[[#This Row],[PERDA MAX]]/Tabela134[[#This Row],[APLICAÇÃO]]</f>
        <v>1</v>
      </c>
      <c r="Y7" s="15">
        <f>IF([LUCRO] &lt; ([RENDA FIXA]/2), 0.8, 0.8)</f>
        <v>0.8</v>
      </c>
      <c r="Z7" s="6">
        <f>IF([LUCRO] &lt; 0, 0, ROUND([LUCRO]*[NO BOLSO], 2))</f>
        <v>0</v>
      </c>
      <c r="AA7" s="6">
        <f>[LUCRO]-[PROTEÇÃO MÊS]</f>
        <v>0</v>
      </c>
      <c r="AB7" s="6">
        <f>[RENDA FIXA] + [PROTEÇÃO MÊS] - [APORTE RF]</f>
        <v>0</v>
      </c>
      <c r="AC7" s="6">
        <f>[TOT RF] + [REINVESTIR] + [APLICAÇÃO]</f>
        <v>1900</v>
      </c>
    </row>
    <row r="8" spans="1:29">
      <c r="B8" s="45"/>
      <c r="C8" s="3"/>
      <c r="D8" s="3"/>
      <c r="E8" s="3"/>
      <c r="G8" s="6">
        <f>100</f>
        <v>100</v>
      </c>
      <c r="H8" s="6">
        <f>SUMPRODUCT(N([TRADE] &lt;= Tabela134[[#This Row],[TRADE]]), [APORTE]) + SUMPRODUCT(N([TRADE] &lt;= Tabela134[[#This Row],[TRADE]]), [APORTE RF])</f>
        <v>1900</v>
      </c>
      <c r="I8" s="6">
        <f>[MONTANTE] - SUMPRODUCT(N([TRADE] &lt;= Tabela134[[#This Row],[TRADE]]), [SAQUE]) + SUMPRODUCT(N([TRADE] &lt; Tabela134[[#This Row],[TRADE]]), [REINVESTIR])</f>
        <v>1900</v>
      </c>
      <c r="J8" s="6">
        <f>TRUNC([APLICAÇÃO]  * SETUP!$A$3, 2)</f>
        <v>0.7</v>
      </c>
      <c r="K8" s="6">
        <f>TRUNC([APLICAÇÃO]  * SETUP!$B$3, 2)</f>
        <v>0.52</v>
      </c>
      <c r="L8" s="6">
        <f>TRUNC([APLICAÇÃO]  * SETUP!$C$3, 2)</f>
        <v>1.32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18.310000000000002</v>
      </c>
      <c r="P8" s="6">
        <f>TRUNC([APLICAÇÃO] * 2  * SETUP!$A$3, 2)</f>
        <v>1.4</v>
      </c>
      <c r="Q8" s="6">
        <f>TRUNC([APLICAÇÃO] * 2  * SETUP!$B$3, 2)</f>
        <v>1.04</v>
      </c>
      <c r="R8" s="6">
        <f>TRUNC([APLICAÇÃO] * 2  * SETUP!$C$3, 2)</f>
        <v>2.64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20.85</v>
      </c>
      <c r="V8" s="6">
        <f>((([APLICAÇÃO] * 2) - [TAXA VD]) - ([APLICAÇÃO] + [TAXA CP])) * 0.85</f>
        <v>1581.7140000000002</v>
      </c>
      <c r="W8" s="14">
        <f>[APLICAÇÃO] - (ROUND([RENDA FIXA] * 0.1,2))</f>
        <v>1900</v>
      </c>
      <c r="X8" s="4">
        <f>Tabela134[[#This Row],[PERDA MAX]]/Tabela134[[#This Row],[APLICAÇÃO]]</f>
        <v>1</v>
      </c>
      <c r="Y8" s="15">
        <f>IF([LUCRO] &lt; ([RENDA FIXA]/2), 0.8, 0.8)</f>
        <v>0.8</v>
      </c>
      <c r="Z8" s="6">
        <f>IF([LUCRO] &lt; 0, 0, ROUND([LUCRO]*[NO BOLSO], 2))</f>
        <v>0</v>
      </c>
      <c r="AA8" s="6">
        <f>[LUCRO]-[PROTEÇÃO MÊS]</f>
        <v>0</v>
      </c>
      <c r="AB8" s="6">
        <f>[RENDA FIXA] + [PROTEÇÃO MÊS] - [APORTE RF]</f>
        <v>0</v>
      </c>
      <c r="AC8" s="6">
        <f>[TOT RF] + [REINVESTIR] + [APLICAÇÃO]</f>
        <v>1900</v>
      </c>
    </row>
    <row r="9" spans="1:29">
      <c r="A9" s="44"/>
      <c r="B9" s="46"/>
      <c r="C9" s="21"/>
      <c r="D9" s="21"/>
      <c r="E9" s="21"/>
      <c r="F9" s="21"/>
      <c r="G9" s="22">
        <f>100</f>
        <v>100</v>
      </c>
      <c r="H9" s="22">
        <f>SUMPRODUCT(N([TRADE] &lt;= Tabela134[[#This Row],[TRADE]]), [APORTE]) + SUMPRODUCT(N([TRADE] &lt;= Tabela134[[#This Row],[TRADE]]), [APORTE RF])</f>
        <v>1900</v>
      </c>
      <c r="I9" s="22">
        <f>[MONTANTE] - SUMPRODUCT(N([TRADE] &lt;= Tabela134[[#This Row],[TRADE]]), [SAQUE]) + SUMPRODUCT(N([TRADE] &lt; Tabela134[[#This Row],[TRADE]]), [REINVESTIR])</f>
        <v>1900</v>
      </c>
      <c r="J9" s="22">
        <f>TRUNC([APLICAÇÃO]  * SETUP!$A$3, 2)</f>
        <v>0.7</v>
      </c>
      <c r="K9" s="22">
        <f>TRUNC([APLICAÇÃO]  * SETUP!$B$3, 2)</f>
        <v>0.52</v>
      </c>
      <c r="L9" s="22">
        <f>TRUNC([APLICAÇÃO]  * SETUP!$C$3, 2)</f>
        <v>1.32</v>
      </c>
      <c r="M9" s="22">
        <f>TRUNC(SETUP!$G$3  * SETUP!$H$3, 2)</f>
        <v>0.28999999999999998</v>
      </c>
      <c r="N9" s="22">
        <f>ROUND(SETUP!$G$3 * SETUP!$I$3, 2)</f>
        <v>0.57999999999999996</v>
      </c>
      <c r="O9" s="22">
        <f>SETUP!$G$3 + SUM(Tabela134[[#This Row],[EMOL CP]]:Tabela134[[#This Row],[OUTRAS CP]])</f>
        <v>18.310000000000002</v>
      </c>
      <c r="P9" s="22">
        <f>TRUNC([APLICAÇÃO] * 2  * SETUP!$A$3, 2)</f>
        <v>1.4</v>
      </c>
      <c r="Q9" s="22">
        <f>TRUNC([APLICAÇÃO] * 2  * SETUP!$B$3, 2)</f>
        <v>1.04</v>
      </c>
      <c r="R9" s="22">
        <f>TRUNC([APLICAÇÃO] * 2  * SETUP!$C$3, 2)</f>
        <v>2.64</v>
      </c>
      <c r="S9" s="22">
        <f>TRUNC(SETUP!$G$3  * SETUP!$H$3, 2)</f>
        <v>0.28999999999999998</v>
      </c>
      <c r="T9" s="22">
        <f>ROUND(SETUP!$G$3 * SETUP!$I$3, 2)</f>
        <v>0.57999999999999996</v>
      </c>
      <c r="U9" s="22">
        <f>SETUP!$G$3 + SUM(Tabela134[[#This Row],[EMOL VD]]:Tabela134[[#This Row],[OUTRAS VD]])</f>
        <v>20.85</v>
      </c>
      <c r="V9" s="22">
        <f>((([APLICAÇÃO] * 2) - [TAXA VD]) - ([APLICAÇÃO] + [TAXA CP])) * 0.85</f>
        <v>1581.7140000000002</v>
      </c>
      <c r="W9" s="23">
        <f>[APLICAÇÃO] - (ROUND([RENDA FIXA] * 0.1,2))</f>
        <v>1900</v>
      </c>
      <c r="X9" s="24">
        <f>Tabela134[[#This Row],[PERDA MAX]]/Tabela134[[#This Row],[APLICAÇÃO]]</f>
        <v>1</v>
      </c>
      <c r="Y9" s="25">
        <f>IF([LUCRO] &lt; ([RENDA FIXA]/2), 0.8, 0.8)</f>
        <v>0.8</v>
      </c>
      <c r="Z9" s="22">
        <f>IF([LUCRO] &lt; 0, 0, ROUND([LUCRO]*[NO BOLSO], 2))</f>
        <v>0</v>
      </c>
      <c r="AA9" s="22">
        <f>[LUCRO]-[PROTEÇÃO MÊS]</f>
        <v>0</v>
      </c>
      <c r="AB9" s="22">
        <f>[RENDA FIXA] + [PROTEÇÃO MÊS] - [APORTE RF]</f>
        <v>0</v>
      </c>
      <c r="AC9" s="22">
        <f>[TOT RF] + [REINVESTIR] + [APLICAÇÃO]</f>
        <v>1900</v>
      </c>
    </row>
    <row r="10" spans="1:29">
      <c r="A10" s="44"/>
      <c r="B10" s="46"/>
      <c r="C10" s="21"/>
      <c r="D10" s="21"/>
      <c r="E10" s="21"/>
      <c r="F10" s="21"/>
      <c r="G10" s="22">
        <f>100</f>
        <v>100</v>
      </c>
      <c r="H10" s="22">
        <f>SUMPRODUCT(N([TRADE] &lt;= Tabela134[[#This Row],[TRADE]]), [APORTE]) + SUMPRODUCT(N([TRADE] &lt;= Tabela134[[#This Row],[TRADE]]), [APORTE RF])</f>
        <v>1900</v>
      </c>
      <c r="I10" s="22">
        <f>[MONTANTE] - SUMPRODUCT(N([TRADE] &lt;= Tabela134[[#This Row],[TRADE]]), [SAQUE]) + SUMPRODUCT(N([TRADE] &lt; Tabela134[[#This Row],[TRADE]]), [REINVESTIR])</f>
        <v>1900</v>
      </c>
      <c r="J10" s="22">
        <f>TRUNC([APLICAÇÃO]  * SETUP!$A$3, 2)</f>
        <v>0.7</v>
      </c>
      <c r="K10" s="22">
        <f>TRUNC([APLICAÇÃO]  * SETUP!$B$3, 2)</f>
        <v>0.52</v>
      </c>
      <c r="L10" s="22">
        <f>TRUNC([APLICAÇÃO]  * SETUP!$C$3, 2)</f>
        <v>1.32</v>
      </c>
      <c r="M10" s="22">
        <f>TRUNC(SETUP!$G$3  * SETUP!$H$3, 2)</f>
        <v>0.28999999999999998</v>
      </c>
      <c r="N10" s="22">
        <f>ROUND(SETUP!$G$3 * SETUP!$I$3, 2)</f>
        <v>0.57999999999999996</v>
      </c>
      <c r="O10" s="22">
        <f>SETUP!$G$3 + SUM(Tabela134[[#This Row],[EMOL CP]]:Tabela134[[#This Row],[OUTRAS CP]])</f>
        <v>18.310000000000002</v>
      </c>
      <c r="P10" s="22">
        <f>TRUNC([APLICAÇÃO] * 2  * SETUP!$A$3, 2)</f>
        <v>1.4</v>
      </c>
      <c r="Q10" s="22">
        <f>TRUNC([APLICAÇÃO] * 2  * SETUP!$B$3, 2)</f>
        <v>1.04</v>
      </c>
      <c r="R10" s="22">
        <f>TRUNC([APLICAÇÃO] * 2  * SETUP!$C$3, 2)</f>
        <v>2.64</v>
      </c>
      <c r="S10" s="22">
        <f>TRUNC(SETUP!$G$3  * SETUP!$H$3, 2)</f>
        <v>0.28999999999999998</v>
      </c>
      <c r="T10" s="22">
        <f>ROUND(SETUP!$G$3 * SETUP!$I$3, 2)</f>
        <v>0.57999999999999996</v>
      </c>
      <c r="U10" s="22">
        <f>SETUP!$G$3 + SUM(Tabela134[[#This Row],[EMOL VD]]:Tabela134[[#This Row],[OUTRAS VD]])</f>
        <v>20.85</v>
      </c>
      <c r="V10" s="22">
        <f>((([APLICAÇÃO] * 2) - [TAXA VD]) - ([APLICAÇÃO] + [TAXA CP])) * 0.85</f>
        <v>1581.7140000000002</v>
      </c>
      <c r="W10" s="23">
        <f>[APLICAÇÃO] - (ROUND([RENDA FIXA] * 0.1,2))</f>
        <v>1900</v>
      </c>
      <c r="X10" s="24">
        <f>Tabela134[[#This Row],[PERDA MAX]]/Tabela134[[#This Row],[APLICAÇÃO]]</f>
        <v>1</v>
      </c>
      <c r="Y10" s="25">
        <f>IF([LUCRO] &lt; ([RENDA FIXA]/2), 0.8, 0.8)</f>
        <v>0.8</v>
      </c>
      <c r="Z10" s="22">
        <f>IF([LUCRO] &lt; 0, 0, ROUND([LUCRO]*[NO BOLSO], 2))</f>
        <v>0</v>
      </c>
      <c r="AA10" s="22">
        <f>[LUCRO]-[PROTEÇÃO MÊS]</f>
        <v>0</v>
      </c>
      <c r="AB10" s="22">
        <f>[RENDA FIXA] + [PROTEÇÃO MÊS] - [APORTE RF]</f>
        <v>0</v>
      </c>
      <c r="AC10" s="22">
        <f>[TOT RF] + [REINVESTIR] + [APLICAÇÃO]</f>
        <v>1900</v>
      </c>
    </row>
    <row r="11" spans="1:29">
      <c r="B11" s="45"/>
      <c r="C11" s="3"/>
      <c r="D11" s="3"/>
      <c r="E11" s="3"/>
      <c r="G11" s="6">
        <f>100</f>
        <v>100</v>
      </c>
      <c r="H11" s="6">
        <f>SUMPRODUCT(N([TRADE] &lt;= Tabela134[[#This Row],[TRADE]]), [APORTE]) + SUMPRODUCT(N([TRADE] &lt;= Tabela134[[#This Row],[TRADE]]), [APORTE RF])</f>
        <v>1900</v>
      </c>
      <c r="I11" s="6">
        <f>[MONTANTE] - SUMPRODUCT(N([TRADE] &lt;= Tabela134[[#This Row],[TRADE]]), [SAQUE]) + SUMPRODUCT(N([TRADE] &lt; Tabela134[[#This Row],[TRADE]]), [REINVESTIR])</f>
        <v>1900</v>
      </c>
      <c r="J11" s="6">
        <f>TRUNC([APLICAÇÃO]  * SETUP!$A$3, 2)</f>
        <v>0.7</v>
      </c>
      <c r="K11" s="6">
        <f>TRUNC([APLICAÇÃO]  * SETUP!$B$3, 2)</f>
        <v>0.52</v>
      </c>
      <c r="L11" s="6">
        <f>TRUNC([APLICAÇÃO]  * SETUP!$C$3, 2)</f>
        <v>1.32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18.310000000000002</v>
      </c>
      <c r="P11" s="6">
        <f>TRUNC([APLICAÇÃO] * 2  * SETUP!$A$3, 2)</f>
        <v>1.4</v>
      </c>
      <c r="Q11" s="6">
        <f>TRUNC([APLICAÇÃO] * 2  * SETUP!$B$3, 2)</f>
        <v>1.04</v>
      </c>
      <c r="R11" s="6">
        <f>TRUNC([APLICAÇÃO] * 2  * SETUP!$C$3, 2)</f>
        <v>2.64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20.85</v>
      </c>
      <c r="V11" s="6">
        <f>((([APLICAÇÃO] * 2) - [TAXA VD]) - ([APLICAÇÃO] + [TAXA CP])) * 0.85</f>
        <v>1581.7140000000002</v>
      </c>
      <c r="W11" s="14">
        <f>[APLICAÇÃO] - (ROUND([RENDA FIXA] * 0.1,2))</f>
        <v>1900</v>
      </c>
      <c r="X11" s="4">
        <f>Tabela134[[#This Row],[PERDA MAX]]/Tabela134[[#This Row],[APLICAÇÃO]]</f>
        <v>1</v>
      </c>
      <c r="Y11" s="15">
        <f>IF([LUCRO] &lt; ([RENDA FIXA]/2), 0.8, 0.8)</f>
        <v>0.8</v>
      </c>
      <c r="Z11" s="6">
        <f>IF([LUCRO] &lt; 0, 0, ROUND([LUCRO]*[NO BOLSO], 2))</f>
        <v>0</v>
      </c>
      <c r="AA11" s="6">
        <f>[LUCRO]-[PROTEÇÃO MÊS]</f>
        <v>0</v>
      </c>
      <c r="AB11" s="6">
        <f>[RENDA FIXA] + [PROTEÇÃO MÊS] - [APORTE RF]</f>
        <v>0</v>
      </c>
      <c r="AC11" s="6">
        <f>[TOT RF] + [REINVESTIR] + [APLICAÇÃO]</f>
        <v>1900</v>
      </c>
    </row>
    <row r="12" spans="1:29">
      <c r="B12" s="45"/>
      <c r="C12" s="3"/>
      <c r="D12" s="3"/>
      <c r="E12" s="3"/>
      <c r="G12" s="6">
        <f>100</f>
        <v>100</v>
      </c>
      <c r="H12" s="6">
        <f>SUMPRODUCT(N([TRADE] &lt;= Tabela134[[#This Row],[TRADE]]), [APORTE]) + SUMPRODUCT(N([TRADE] &lt;= Tabela134[[#This Row],[TRADE]]), [APORTE RF])</f>
        <v>1900</v>
      </c>
      <c r="I12" s="6">
        <f>[MONTANTE] - SUMPRODUCT(N([TRADE] &lt;= Tabela134[[#This Row],[TRADE]]), [SAQUE]) + SUMPRODUCT(N([TRADE] &lt; Tabela134[[#This Row],[TRADE]]), [REINVESTIR])</f>
        <v>1900</v>
      </c>
      <c r="J12" s="6">
        <f>TRUNC([APLICAÇÃO]  * SETUP!$A$3, 2)</f>
        <v>0.7</v>
      </c>
      <c r="K12" s="6">
        <f>TRUNC([APLICAÇÃO]  * SETUP!$B$3, 2)</f>
        <v>0.52</v>
      </c>
      <c r="L12" s="6">
        <f>TRUNC([APLICAÇÃO]  * SETUP!$C$3, 2)</f>
        <v>1.32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18.310000000000002</v>
      </c>
      <c r="P12" s="6">
        <f>TRUNC([APLICAÇÃO] * 2  * SETUP!$A$3, 2)</f>
        <v>1.4</v>
      </c>
      <c r="Q12" s="6">
        <f>TRUNC([APLICAÇÃO] * 2  * SETUP!$B$3, 2)</f>
        <v>1.04</v>
      </c>
      <c r="R12" s="6">
        <f>TRUNC([APLICAÇÃO] * 2  * SETUP!$C$3, 2)</f>
        <v>2.64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20.85</v>
      </c>
      <c r="V12" s="6">
        <f>((([APLICAÇÃO] * 2) - [TAXA VD]) - ([APLICAÇÃO] + [TAXA CP])) * 0.85</f>
        <v>1581.7140000000002</v>
      </c>
      <c r="W12" s="14">
        <f>[APLICAÇÃO] - (ROUND([RENDA FIXA] * 0.1,2))</f>
        <v>1900</v>
      </c>
      <c r="X12" s="4">
        <f>Tabela134[[#This Row],[PERDA MAX]]/Tabela134[[#This Row],[APLICAÇÃO]]</f>
        <v>1</v>
      </c>
      <c r="Y12" s="15">
        <f>IF([LUCRO] &lt; ([RENDA FIXA]/2), 0.8, 0.8)</f>
        <v>0.8</v>
      </c>
      <c r="Z12" s="6">
        <f>IF([LUCRO] &lt; 0, 0, ROUND([LUCRO]*[NO BOLSO], 2))</f>
        <v>0</v>
      </c>
      <c r="AA12" s="6">
        <f>[LUCRO]-[PROTEÇÃO MÊS]</f>
        <v>0</v>
      </c>
      <c r="AB12" s="6">
        <f>[RENDA FIXA] + [PROTEÇÃO MÊS] - [APORTE RF]</f>
        <v>0</v>
      </c>
      <c r="AC12" s="6">
        <f>[TOT RF] + [REINVESTIR] + [APLICAÇÃO]</f>
        <v>1900</v>
      </c>
    </row>
    <row r="13" spans="1:29">
      <c r="B13" s="45"/>
      <c r="C13" s="3"/>
      <c r="D13" s="3"/>
      <c r="E13" s="3"/>
      <c r="G13" s="6">
        <f>100</f>
        <v>100</v>
      </c>
      <c r="H13" s="6">
        <f>SUMPRODUCT(N([TRADE] &lt;= Tabela134[[#This Row],[TRADE]]), [APORTE]) + SUMPRODUCT(N([TRADE] &lt;= Tabela134[[#This Row],[TRADE]]), [APORTE RF])</f>
        <v>1900</v>
      </c>
      <c r="I13" s="6">
        <f>[MONTANTE] - SUMPRODUCT(N([TRADE] &lt;= Tabela134[[#This Row],[TRADE]]), [SAQUE]) + SUMPRODUCT(N([TRADE] &lt; Tabela134[[#This Row],[TRADE]]), [REINVESTIR])</f>
        <v>1900</v>
      </c>
      <c r="J13" s="6">
        <f>TRUNC([APLICAÇÃO]  * SETUP!$A$3, 2)</f>
        <v>0.7</v>
      </c>
      <c r="K13" s="6">
        <f>TRUNC([APLICAÇÃO]  * SETUP!$B$3, 2)</f>
        <v>0.52</v>
      </c>
      <c r="L13" s="6">
        <f>TRUNC([APLICAÇÃO]  * SETUP!$C$3, 2)</f>
        <v>1.32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18.310000000000002</v>
      </c>
      <c r="P13" s="6">
        <f>TRUNC([APLICAÇÃO] * 2  * SETUP!$A$3, 2)</f>
        <v>1.4</v>
      </c>
      <c r="Q13" s="6">
        <f>TRUNC([APLICAÇÃO] * 2  * SETUP!$B$3, 2)</f>
        <v>1.04</v>
      </c>
      <c r="R13" s="6">
        <f>TRUNC([APLICAÇÃO] * 2  * SETUP!$C$3, 2)</f>
        <v>2.64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20.85</v>
      </c>
      <c r="V13" s="6">
        <f>((([APLICAÇÃO] * 2) - [TAXA VD]) - ([APLICAÇÃO] + [TAXA CP])) * 0.85</f>
        <v>1581.7140000000002</v>
      </c>
      <c r="W13" s="14">
        <f>[APLICAÇÃO] - (ROUND([RENDA FIXA] * 0.1,2))</f>
        <v>1900</v>
      </c>
      <c r="X13" s="4">
        <f>Tabela134[[#This Row],[PERDA MAX]]/Tabela134[[#This Row],[APLICAÇÃO]]</f>
        <v>1</v>
      </c>
      <c r="Y13" s="15">
        <f>IF([LUCRO] &lt; ([RENDA FIXA]/2), 0.8, 0.8)</f>
        <v>0.8</v>
      </c>
      <c r="Z13" s="6">
        <f>IF([LUCRO] &lt; 0, 0, ROUND([LUCRO]*[NO BOLSO], 2))</f>
        <v>0</v>
      </c>
      <c r="AA13" s="6">
        <f>[LUCRO]-[PROTEÇÃO MÊS]</f>
        <v>0</v>
      </c>
      <c r="AB13" s="6">
        <f>[RENDA FIXA] + [PROTEÇÃO MÊS] - [APORTE RF]</f>
        <v>0</v>
      </c>
      <c r="AC13" s="6">
        <f>[TOT RF] + [REINVESTIR] + [APLICAÇÃO]</f>
        <v>1900</v>
      </c>
    </row>
    <row r="14" spans="1:29">
      <c r="B14" s="45"/>
      <c r="C14" s="3"/>
      <c r="D14" s="3"/>
      <c r="E14" s="3"/>
      <c r="G14" s="6">
        <f>100</f>
        <v>100</v>
      </c>
      <c r="H14" s="6">
        <f>SUMPRODUCT(N([TRADE] &lt;= Tabela134[[#This Row],[TRADE]]), [APORTE]) + SUMPRODUCT(N([TRADE] &lt;= Tabela134[[#This Row],[TRADE]]), [APORTE RF])</f>
        <v>1900</v>
      </c>
      <c r="I14" s="6">
        <f>[MONTANTE] - SUMPRODUCT(N([TRADE] &lt;= Tabela134[[#This Row],[TRADE]]), [SAQUE]) + SUMPRODUCT(N([TRADE] &lt; Tabela134[[#This Row],[TRADE]]), [REINVESTIR])</f>
        <v>1900</v>
      </c>
      <c r="J14" s="6">
        <f>TRUNC([APLICAÇÃO]  * SETUP!$A$3, 2)</f>
        <v>0.7</v>
      </c>
      <c r="K14" s="6">
        <f>TRUNC([APLICAÇÃO]  * SETUP!$B$3, 2)</f>
        <v>0.52</v>
      </c>
      <c r="L14" s="6">
        <f>TRUNC([APLICAÇÃO]  * SETUP!$C$3, 2)</f>
        <v>1.32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18.310000000000002</v>
      </c>
      <c r="P14" s="6">
        <f>TRUNC([APLICAÇÃO] * 2  * SETUP!$A$3, 2)</f>
        <v>1.4</v>
      </c>
      <c r="Q14" s="6">
        <f>TRUNC([APLICAÇÃO] * 2  * SETUP!$B$3, 2)</f>
        <v>1.04</v>
      </c>
      <c r="R14" s="6">
        <f>TRUNC([APLICAÇÃO] * 2  * SETUP!$C$3, 2)</f>
        <v>2.64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20.85</v>
      </c>
      <c r="V14" s="6">
        <f>((([APLICAÇÃO] * 2) - [TAXA VD]) - ([APLICAÇÃO] + [TAXA CP])) * 0.85</f>
        <v>1581.7140000000002</v>
      </c>
      <c r="W14" s="14">
        <f>[APLICAÇÃO] - (ROUND([RENDA FIXA] * 0.1,2))</f>
        <v>1900</v>
      </c>
      <c r="X14" s="4">
        <f>Tabela134[[#This Row],[PERDA MAX]]/Tabela134[[#This Row],[APLICAÇÃO]]</f>
        <v>1</v>
      </c>
      <c r="Y14" s="15">
        <f>IF([LUCRO] &lt; ([RENDA FIXA]/2), 0.8, 0.8)</f>
        <v>0.8</v>
      </c>
      <c r="Z14" s="6">
        <f>IF([LUCRO] &lt; 0, 0, ROUND([LUCRO]*[NO BOLSO], 2))</f>
        <v>0</v>
      </c>
      <c r="AA14" s="6">
        <f>[LUCRO]-[PROTEÇÃO MÊS]</f>
        <v>0</v>
      </c>
      <c r="AB14" s="6">
        <f>[RENDA FIXA] + [PROTEÇÃO MÊS] - [APORTE RF]</f>
        <v>0</v>
      </c>
      <c r="AC14" s="6">
        <f>[TOT RF] + [REINVESTIR] + [APLICAÇÃO]</f>
        <v>1900</v>
      </c>
    </row>
    <row r="15" spans="1:29">
      <c r="B15" s="45"/>
      <c r="C15" s="3"/>
      <c r="D15" s="3"/>
      <c r="E15" s="3"/>
      <c r="G15" s="6">
        <f>100</f>
        <v>100</v>
      </c>
      <c r="H15" s="6">
        <f>SUMPRODUCT(N([TRADE] &lt;= Tabela134[[#This Row],[TRADE]]), [APORTE]) + SUMPRODUCT(N([TRADE] &lt;= Tabela134[[#This Row],[TRADE]]), [APORTE RF])</f>
        <v>1900</v>
      </c>
      <c r="I15" s="6">
        <f>[MONTANTE] - SUMPRODUCT(N([TRADE] &lt;= Tabela134[[#This Row],[TRADE]]), [SAQUE]) + SUMPRODUCT(N([TRADE] &lt; Tabela134[[#This Row],[TRADE]]), [REINVESTIR])</f>
        <v>1900</v>
      </c>
      <c r="J15" s="6">
        <f>TRUNC([APLICAÇÃO]  * SETUP!$A$3, 2)</f>
        <v>0.7</v>
      </c>
      <c r="K15" s="6">
        <f>TRUNC([APLICAÇÃO]  * SETUP!$B$3, 2)</f>
        <v>0.52</v>
      </c>
      <c r="L15" s="6">
        <f>TRUNC([APLICAÇÃO]  * SETUP!$C$3, 2)</f>
        <v>1.32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18.310000000000002</v>
      </c>
      <c r="P15" s="6">
        <f>TRUNC([APLICAÇÃO] * 2  * SETUP!$A$3, 2)</f>
        <v>1.4</v>
      </c>
      <c r="Q15" s="6">
        <f>TRUNC([APLICAÇÃO] * 2  * SETUP!$B$3, 2)</f>
        <v>1.04</v>
      </c>
      <c r="R15" s="6">
        <f>TRUNC([APLICAÇÃO] * 2  * SETUP!$C$3, 2)</f>
        <v>2.64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20.85</v>
      </c>
      <c r="V15" s="6">
        <f>((([APLICAÇÃO] * 2) - [TAXA VD]) - ([APLICAÇÃO] + [TAXA CP])) * 0.85</f>
        <v>1581.7140000000002</v>
      </c>
      <c r="W15" s="14">
        <f>[APLICAÇÃO] - (ROUND([RENDA FIXA] * 0.1,2))</f>
        <v>1900</v>
      </c>
      <c r="X15" s="4">
        <f>Tabela134[[#This Row],[PERDA MAX]]/Tabela134[[#This Row],[APLICAÇÃO]]</f>
        <v>1</v>
      </c>
      <c r="Y15" s="15">
        <f>IF([LUCRO] &lt; ([RENDA FIXA]/2), 0.8, 0.8)</f>
        <v>0.8</v>
      </c>
      <c r="Z15" s="6">
        <f>IF([LUCRO] &lt; 0, 0, ROUND([LUCRO]*[NO BOLSO], 2))</f>
        <v>0</v>
      </c>
      <c r="AA15" s="6">
        <f>[LUCRO]-[PROTEÇÃO MÊS]</f>
        <v>0</v>
      </c>
      <c r="AB15" s="6">
        <f>[RENDA FIXA] + [PROTEÇÃO MÊS] - [APORTE RF]</f>
        <v>0</v>
      </c>
      <c r="AC15" s="6">
        <f>[TOT RF] + [REINVESTIR] + [APLICAÇÃO]</f>
        <v>1900</v>
      </c>
    </row>
    <row r="16" spans="1:29">
      <c r="A16" s="44"/>
      <c r="B16" s="46"/>
      <c r="C16" s="21"/>
      <c r="D16" s="21"/>
      <c r="E16" s="21"/>
      <c r="F16" s="21"/>
      <c r="G16" s="22">
        <f>100</f>
        <v>100</v>
      </c>
      <c r="H16" s="22">
        <f>SUMPRODUCT(N([TRADE] &lt;= Tabela134[[#This Row],[TRADE]]), [APORTE]) + SUMPRODUCT(N([TRADE] &lt;= Tabela134[[#This Row],[TRADE]]), [APORTE RF])</f>
        <v>1900</v>
      </c>
      <c r="I16" s="22">
        <f>[MONTANTE] - SUMPRODUCT(N([TRADE] &lt;= Tabela134[[#This Row],[TRADE]]), [SAQUE]) + SUMPRODUCT(N([TRADE] &lt; Tabela134[[#This Row],[TRADE]]), [REINVESTIR])</f>
        <v>1900</v>
      </c>
      <c r="J16" s="22">
        <f>TRUNC([APLICAÇÃO]  * SETUP!$A$3, 2)</f>
        <v>0.7</v>
      </c>
      <c r="K16" s="22">
        <f>TRUNC([APLICAÇÃO]  * SETUP!$B$3, 2)</f>
        <v>0.52</v>
      </c>
      <c r="L16" s="22">
        <f>TRUNC([APLICAÇÃO]  * SETUP!$C$3, 2)</f>
        <v>1.32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SUM(Tabela134[[#This Row],[EMOL CP]]:Tabela134[[#This Row],[OUTRAS CP]])</f>
        <v>18.310000000000002</v>
      </c>
      <c r="P16" s="22">
        <f>TRUNC([APLICAÇÃO] * 2  * SETUP!$A$3, 2)</f>
        <v>1.4</v>
      </c>
      <c r="Q16" s="22">
        <f>TRUNC([APLICAÇÃO] * 2  * SETUP!$B$3, 2)</f>
        <v>1.04</v>
      </c>
      <c r="R16" s="22">
        <f>TRUNC([APLICAÇÃO] * 2  * SETUP!$C$3, 2)</f>
        <v>2.64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SUM(Tabela134[[#This Row],[EMOL VD]]:Tabela134[[#This Row],[OUTRAS VD]])</f>
        <v>20.85</v>
      </c>
      <c r="V16" s="22">
        <f>((([APLICAÇÃO] * 2) - [TAXA VD]) - ([APLICAÇÃO] + [TAXA CP])) * 0.85</f>
        <v>1581.7140000000002</v>
      </c>
      <c r="W16" s="23">
        <f>[APLICAÇÃO] - (ROUND([RENDA FIXA] * 0.1,2))</f>
        <v>1900</v>
      </c>
      <c r="X16" s="24">
        <f>Tabela134[[#This Row],[PERDA MAX]]/Tabela134[[#This Row],[APLICAÇÃO]]</f>
        <v>1</v>
      </c>
      <c r="Y16" s="25">
        <f>IF([LUCRO] &lt; ([RENDA FIXA]/2), 0.8, 0.8)</f>
        <v>0.8</v>
      </c>
      <c r="Z16" s="22">
        <f>IF([LUCRO] &lt; 0, 0, ROUND([LUCRO]*[NO BOLSO], 2))</f>
        <v>0</v>
      </c>
      <c r="AA16" s="22">
        <f>[LUCRO]-[PROTEÇÃO MÊS]</f>
        <v>0</v>
      </c>
      <c r="AB16" s="22">
        <f>[RENDA FIXA] + [PROTEÇÃO MÊS] - [APORTE RF]</f>
        <v>0</v>
      </c>
      <c r="AC16" s="22">
        <f>[TOT RF] + [REINVESTIR] + [APLICAÇÃO]</f>
        <v>1900</v>
      </c>
    </row>
    <row r="17" spans="1:29">
      <c r="B17" s="45"/>
      <c r="C17" s="3"/>
      <c r="D17" s="3"/>
      <c r="E17" s="3"/>
      <c r="G17" s="6">
        <f>100</f>
        <v>100</v>
      </c>
      <c r="H17" s="6">
        <f>SUMPRODUCT(N([TRADE] &lt;= Tabela134[[#This Row],[TRADE]]), [APORTE]) + SUMPRODUCT(N([TRADE] &lt;= Tabela134[[#This Row],[TRADE]]), [APORTE RF])</f>
        <v>1900</v>
      </c>
      <c r="I17" s="6">
        <f>[MONTANTE] - SUMPRODUCT(N([TRADE] &lt;= Tabela134[[#This Row],[TRADE]]), [SAQUE]) + SUMPRODUCT(N([TRADE] &lt; Tabela134[[#This Row],[TRADE]]), [REINVESTIR])</f>
        <v>1900</v>
      </c>
      <c r="J17" s="6">
        <f>TRUNC([APLICAÇÃO]  * SETUP!$A$3, 2)</f>
        <v>0.7</v>
      </c>
      <c r="K17" s="6">
        <f>TRUNC([APLICAÇÃO]  * SETUP!$B$3, 2)</f>
        <v>0.52</v>
      </c>
      <c r="L17" s="6">
        <f>TRUNC([APLICAÇÃO]  * SETUP!$C$3, 2)</f>
        <v>1.32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18.310000000000002</v>
      </c>
      <c r="P17" s="6">
        <f>TRUNC([APLICAÇÃO] * 2  * SETUP!$A$3, 2)</f>
        <v>1.4</v>
      </c>
      <c r="Q17" s="6">
        <f>TRUNC([APLICAÇÃO] * 2  * SETUP!$B$3, 2)</f>
        <v>1.04</v>
      </c>
      <c r="R17" s="6">
        <f>TRUNC([APLICAÇÃO] * 2  * SETUP!$C$3, 2)</f>
        <v>2.64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20.85</v>
      </c>
      <c r="V17" s="6">
        <f>((([APLICAÇÃO] * 2) - [TAXA VD]) - ([APLICAÇÃO] + [TAXA CP])) * 0.85</f>
        <v>1581.7140000000002</v>
      </c>
      <c r="W17" s="14">
        <f>[APLICAÇÃO] - (ROUND([RENDA FIXA] * 0.1,2))</f>
        <v>1900</v>
      </c>
      <c r="X17" s="4">
        <f>Tabela134[[#This Row],[PERDA MAX]]/Tabela134[[#This Row],[APLICAÇÃO]]</f>
        <v>1</v>
      </c>
      <c r="Y17" s="15">
        <f>IF([LUCRO] &lt; ([RENDA FIXA]/2), 0.8, 0.8)</f>
        <v>0.8</v>
      </c>
      <c r="Z17" s="6">
        <f>IF([LUCRO] &lt; 0, 0, ROUND([LUCRO]*[NO BOLSO], 2))</f>
        <v>0</v>
      </c>
      <c r="AA17" s="6">
        <f>[LUCRO]-[PROTEÇÃO MÊS]</f>
        <v>0</v>
      </c>
      <c r="AB17" s="6">
        <f>[RENDA FIXA] + [PROTEÇÃO MÊS] - [APORTE RF]</f>
        <v>0</v>
      </c>
      <c r="AC17" s="6">
        <f>[TOT RF] + [REINVESTIR] + [APLICAÇÃO]</f>
        <v>1900</v>
      </c>
    </row>
    <row r="18" spans="1:29">
      <c r="B18" s="45"/>
      <c r="C18" s="3"/>
      <c r="D18" s="3"/>
      <c r="E18" s="3"/>
      <c r="G18" s="6">
        <f>100</f>
        <v>100</v>
      </c>
      <c r="H18" s="6">
        <f>SUMPRODUCT(N([TRADE] &lt;= Tabela134[[#This Row],[TRADE]]), [APORTE]) + SUMPRODUCT(N([TRADE] &lt;= Tabela134[[#This Row],[TRADE]]), [APORTE RF])</f>
        <v>1900</v>
      </c>
      <c r="I18" s="6">
        <f>[MONTANTE] - SUMPRODUCT(N([TRADE] &lt;= Tabela134[[#This Row],[TRADE]]), [SAQUE]) + SUMPRODUCT(N([TRADE] &lt; Tabela134[[#This Row],[TRADE]]), [REINVESTIR])</f>
        <v>1900</v>
      </c>
      <c r="J18" s="6">
        <f>TRUNC([APLICAÇÃO]  * SETUP!$A$3, 2)</f>
        <v>0.7</v>
      </c>
      <c r="K18" s="6">
        <f>TRUNC([APLICAÇÃO]  * SETUP!$B$3, 2)</f>
        <v>0.52</v>
      </c>
      <c r="L18" s="6">
        <f>TRUNC([APLICAÇÃO]  * SETUP!$C$3, 2)</f>
        <v>1.32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18.310000000000002</v>
      </c>
      <c r="P18" s="6">
        <f>TRUNC([APLICAÇÃO] * 2  * SETUP!$A$3, 2)</f>
        <v>1.4</v>
      </c>
      <c r="Q18" s="6">
        <f>TRUNC([APLICAÇÃO] * 2  * SETUP!$B$3, 2)</f>
        <v>1.04</v>
      </c>
      <c r="R18" s="6">
        <f>TRUNC([APLICAÇÃO] * 2  * SETUP!$C$3, 2)</f>
        <v>2.64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20.85</v>
      </c>
      <c r="V18" s="6">
        <f>((([APLICAÇÃO] * 2) - [TAXA VD]) - ([APLICAÇÃO] + [TAXA CP])) * 0.85</f>
        <v>1581.7140000000002</v>
      </c>
      <c r="W18" s="14">
        <f>[APLICAÇÃO] - (ROUND([RENDA FIXA] * 0.1,2))</f>
        <v>1900</v>
      </c>
      <c r="X18" s="4">
        <f>Tabela134[[#This Row],[PERDA MAX]]/Tabela134[[#This Row],[APLICAÇÃO]]</f>
        <v>1</v>
      </c>
      <c r="Y18" s="15">
        <f>IF([LUCRO] &lt; ([RENDA FIXA]/2), 0.8, 0.8)</f>
        <v>0.8</v>
      </c>
      <c r="Z18" s="6">
        <f>IF([LUCRO] &lt; 0, 0, ROUND([LUCRO]*[NO BOLSO], 2))</f>
        <v>0</v>
      </c>
      <c r="AA18" s="6">
        <f>[LUCRO]-[PROTEÇÃO MÊS]</f>
        <v>0</v>
      </c>
      <c r="AB18" s="6">
        <f>[RENDA FIXA] + [PROTEÇÃO MÊS] - [APORTE RF]</f>
        <v>0</v>
      </c>
      <c r="AC18" s="6">
        <f>[TOT RF] + [REINVESTIR] + [APLICAÇÃO]</f>
        <v>1900</v>
      </c>
    </row>
    <row r="19" spans="1:29">
      <c r="B19" s="45"/>
      <c r="C19" s="3"/>
      <c r="D19" s="3"/>
      <c r="E19" s="3"/>
      <c r="G19" s="6">
        <f>100</f>
        <v>100</v>
      </c>
      <c r="H19" s="6">
        <f>SUMPRODUCT(N([TRADE] &lt;= Tabela134[[#This Row],[TRADE]]), [APORTE]) + SUMPRODUCT(N([TRADE] &lt;= Tabela134[[#This Row],[TRADE]]), [APORTE RF])</f>
        <v>1900</v>
      </c>
      <c r="I19" s="6">
        <f>[MONTANTE] - SUMPRODUCT(N([TRADE] &lt;= Tabela134[[#This Row],[TRADE]]), [SAQUE]) + SUMPRODUCT(N([TRADE] &lt; Tabela134[[#This Row],[TRADE]]), [REINVESTIR])</f>
        <v>1900</v>
      </c>
      <c r="J19" s="6">
        <f>TRUNC([APLICAÇÃO]  * SETUP!$A$3, 2)</f>
        <v>0.7</v>
      </c>
      <c r="K19" s="6">
        <f>TRUNC([APLICAÇÃO]  * SETUP!$B$3, 2)</f>
        <v>0.52</v>
      </c>
      <c r="L19" s="6">
        <f>TRUNC([APLICAÇÃO]  * SETUP!$C$3, 2)</f>
        <v>1.32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18.310000000000002</v>
      </c>
      <c r="P19" s="6">
        <f>TRUNC([APLICAÇÃO] * 2  * SETUP!$A$3, 2)</f>
        <v>1.4</v>
      </c>
      <c r="Q19" s="6">
        <f>TRUNC([APLICAÇÃO] * 2  * SETUP!$B$3, 2)</f>
        <v>1.04</v>
      </c>
      <c r="R19" s="6">
        <f>TRUNC([APLICAÇÃO] * 2  * SETUP!$C$3, 2)</f>
        <v>2.64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20.85</v>
      </c>
      <c r="V19" s="6">
        <f>((([APLICAÇÃO] * 2) - [TAXA VD]) - ([APLICAÇÃO] + [TAXA CP])) * 0.85</f>
        <v>1581.7140000000002</v>
      </c>
      <c r="W19" s="14">
        <f>[APLICAÇÃO] - (ROUND([RENDA FIXA] * 0.1,2))</f>
        <v>1900</v>
      </c>
      <c r="X19" s="4">
        <f>Tabela134[[#This Row],[PERDA MAX]]/Tabela134[[#This Row],[APLICAÇÃO]]</f>
        <v>1</v>
      </c>
      <c r="Y19" s="15">
        <f>IF([LUCRO] &lt; ([RENDA FIXA]/2), 0.8, 0.8)</f>
        <v>0.8</v>
      </c>
      <c r="Z19" s="6">
        <f>IF([LUCRO] &lt; 0, 0, ROUND([LUCRO]*[NO BOLSO], 2))</f>
        <v>0</v>
      </c>
      <c r="AA19" s="6">
        <f>[LUCRO]-[PROTEÇÃO MÊS]</f>
        <v>0</v>
      </c>
      <c r="AB19" s="6">
        <f>[RENDA FIXA] + [PROTEÇÃO MÊS] - [APORTE RF]</f>
        <v>0</v>
      </c>
      <c r="AC19" s="6">
        <f>[TOT RF] + [REINVESTIR] + [APLICAÇÃO]</f>
        <v>1900</v>
      </c>
    </row>
    <row r="20" spans="1:29">
      <c r="B20" s="45"/>
      <c r="C20" s="3"/>
      <c r="D20" s="3"/>
      <c r="E20" s="3"/>
      <c r="G20" s="6">
        <f>100</f>
        <v>100</v>
      </c>
      <c r="H20" s="6">
        <f>SUMPRODUCT(N([TRADE] &lt;= Tabela134[[#This Row],[TRADE]]), [APORTE]) + SUMPRODUCT(N([TRADE] &lt;= Tabela134[[#This Row],[TRADE]]), [APORTE RF])</f>
        <v>1900</v>
      </c>
      <c r="I20" s="6">
        <f>[MONTANTE] - SUMPRODUCT(N([TRADE] &lt;= Tabela134[[#This Row],[TRADE]]), [SAQUE]) + SUMPRODUCT(N([TRADE] &lt; Tabela134[[#This Row],[TRADE]]), [REINVESTIR])</f>
        <v>1900</v>
      </c>
      <c r="J20" s="6">
        <f>TRUNC([APLICAÇÃO]  * SETUP!$A$3, 2)</f>
        <v>0.7</v>
      </c>
      <c r="K20" s="6">
        <f>TRUNC([APLICAÇÃO]  * SETUP!$B$3, 2)</f>
        <v>0.52</v>
      </c>
      <c r="L20" s="6">
        <f>TRUNC([APLICAÇÃO]  * SETUP!$C$3, 2)</f>
        <v>1.32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18.310000000000002</v>
      </c>
      <c r="P20" s="6">
        <f>TRUNC([APLICAÇÃO] * 2  * SETUP!$A$3, 2)</f>
        <v>1.4</v>
      </c>
      <c r="Q20" s="6">
        <f>TRUNC([APLICAÇÃO] * 2  * SETUP!$B$3, 2)</f>
        <v>1.04</v>
      </c>
      <c r="R20" s="6">
        <f>TRUNC([APLICAÇÃO] * 2  * SETUP!$C$3, 2)</f>
        <v>2.64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20.85</v>
      </c>
      <c r="V20" s="6">
        <f>((([APLICAÇÃO] * 2) - [TAXA VD]) - ([APLICAÇÃO] + [TAXA CP])) * 0.85</f>
        <v>1581.7140000000002</v>
      </c>
      <c r="W20" s="14">
        <f>[APLICAÇÃO] - (ROUND([RENDA FIXA] * 0.1,2))</f>
        <v>1900</v>
      </c>
      <c r="X20" s="4">
        <f>Tabela134[[#This Row],[PERDA MAX]]/Tabela134[[#This Row],[APLICAÇÃO]]</f>
        <v>1</v>
      </c>
      <c r="Y20" s="15">
        <f>IF([LUCRO] &lt; ([RENDA FIXA]/2), 0.8, 0.8)</f>
        <v>0.8</v>
      </c>
      <c r="Z20" s="6">
        <f>IF([LUCRO] &lt; 0, 0, ROUND([LUCRO]*[NO BOLSO], 2))</f>
        <v>0</v>
      </c>
      <c r="AA20" s="6">
        <f>[LUCRO]-[PROTEÇÃO MÊS]</f>
        <v>0</v>
      </c>
      <c r="AB20" s="6">
        <f>[RENDA FIXA] + [PROTEÇÃO MÊS] - [APORTE RF]</f>
        <v>0</v>
      </c>
      <c r="AC20" s="6">
        <f>[TOT RF] + [REINVESTIR] + [APLICAÇÃO]</f>
        <v>1900</v>
      </c>
    </row>
    <row r="21" spans="1:29">
      <c r="B21" s="45"/>
      <c r="C21" s="3"/>
      <c r="D21" s="3"/>
      <c r="E21" s="3"/>
      <c r="G21" s="6">
        <f>100</f>
        <v>100</v>
      </c>
      <c r="H21" s="6">
        <f>SUMPRODUCT(N([TRADE] &lt;= Tabela134[[#This Row],[TRADE]]), [APORTE]) + SUMPRODUCT(N([TRADE] &lt;= Tabela134[[#This Row],[TRADE]]), [APORTE RF])</f>
        <v>1900</v>
      </c>
      <c r="I21" s="6">
        <f>[MONTANTE] - SUMPRODUCT(N([TRADE] &lt;= Tabela134[[#This Row],[TRADE]]), [SAQUE]) + SUMPRODUCT(N([TRADE] &lt; Tabela134[[#This Row],[TRADE]]), [REINVESTIR])</f>
        <v>1900</v>
      </c>
      <c r="J21" s="6">
        <f>TRUNC([APLICAÇÃO]  * SETUP!$A$3, 2)</f>
        <v>0.7</v>
      </c>
      <c r="K21" s="6">
        <f>TRUNC([APLICAÇÃO]  * SETUP!$B$3, 2)</f>
        <v>0.52</v>
      </c>
      <c r="L21" s="6">
        <f>TRUNC([APLICAÇÃO]  * SETUP!$C$3, 2)</f>
        <v>1.32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18.310000000000002</v>
      </c>
      <c r="P21" s="6">
        <f>TRUNC([APLICAÇÃO] * 2  * SETUP!$A$3, 2)</f>
        <v>1.4</v>
      </c>
      <c r="Q21" s="6">
        <f>TRUNC([APLICAÇÃO] * 2  * SETUP!$B$3, 2)</f>
        <v>1.04</v>
      </c>
      <c r="R21" s="6">
        <f>TRUNC([APLICAÇÃO] * 2  * SETUP!$C$3, 2)</f>
        <v>2.64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20.85</v>
      </c>
      <c r="V21" s="6">
        <f>((([APLICAÇÃO] * 2) - [TAXA VD]) - ([APLICAÇÃO] + [TAXA CP])) * 0.85</f>
        <v>1581.7140000000002</v>
      </c>
      <c r="W21" s="14">
        <f>[APLICAÇÃO] - (ROUND([RENDA FIXA] * 0.1,2))</f>
        <v>1900</v>
      </c>
      <c r="X21" s="4">
        <f>Tabela134[[#This Row],[PERDA MAX]]/Tabela134[[#This Row],[APLICAÇÃO]]</f>
        <v>1</v>
      </c>
      <c r="Y21" s="15">
        <f>IF([LUCRO] &lt; ([RENDA FIXA]/2), 0.8, 0.8)</f>
        <v>0.8</v>
      </c>
      <c r="Z21" s="6">
        <f>IF([LUCRO] &lt; 0, 0, ROUND([LUCRO]*[NO BOLSO], 2))</f>
        <v>0</v>
      </c>
      <c r="AA21" s="6">
        <f>[LUCRO]-[PROTEÇÃO MÊS]</f>
        <v>0</v>
      </c>
      <c r="AB21" s="6">
        <f>[RENDA FIXA] + [PROTEÇÃO MÊS] - [APORTE RF]</f>
        <v>0</v>
      </c>
      <c r="AC21" s="6">
        <f>[TOT RF] + [REINVESTIR] + [APLICAÇÃO]</f>
        <v>1900</v>
      </c>
    </row>
    <row r="22" spans="1:29">
      <c r="A22" s="44"/>
      <c r="B22" s="46"/>
      <c r="C22" s="21"/>
      <c r="D22" s="21"/>
      <c r="E22" s="21"/>
      <c r="F22" s="21"/>
      <c r="G22" s="22">
        <f>100</f>
        <v>100</v>
      </c>
      <c r="H22" s="22">
        <f>SUMPRODUCT(N([TRADE] &lt;= Tabela134[[#This Row],[TRADE]]), [APORTE]) + SUMPRODUCT(N([TRADE] &lt;= Tabela134[[#This Row],[TRADE]]), [APORTE RF])</f>
        <v>1900</v>
      </c>
      <c r="I22" s="22">
        <f>[MONTANTE] - SUMPRODUCT(N([TRADE] &lt;= Tabela134[[#This Row],[TRADE]]), [SAQUE]) + SUMPRODUCT(N([TRADE] &lt; Tabela134[[#This Row],[TRADE]]), [REINVESTIR])</f>
        <v>1900</v>
      </c>
      <c r="J22" s="22">
        <f>TRUNC([APLICAÇÃO]  * SETUP!$A$3, 2)</f>
        <v>0.7</v>
      </c>
      <c r="K22" s="22">
        <f>TRUNC([APLICAÇÃO]  * SETUP!$B$3, 2)</f>
        <v>0.52</v>
      </c>
      <c r="L22" s="22">
        <f>TRUNC([APLICAÇÃO]  * SETUP!$C$3, 2)</f>
        <v>1.32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SUM(Tabela134[[#This Row],[EMOL CP]]:Tabela134[[#This Row],[OUTRAS CP]])</f>
        <v>18.310000000000002</v>
      </c>
      <c r="P22" s="22">
        <f>TRUNC([APLICAÇÃO] * 2  * SETUP!$A$3, 2)</f>
        <v>1.4</v>
      </c>
      <c r="Q22" s="22">
        <f>TRUNC([APLICAÇÃO] * 2  * SETUP!$B$3, 2)</f>
        <v>1.04</v>
      </c>
      <c r="R22" s="22">
        <f>TRUNC([APLICAÇÃO] * 2  * SETUP!$C$3, 2)</f>
        <v>2.64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SUM(Tabela134[[#This Row],[EMOL VD]]:Tabela134[[#This Row],[OUTRAS VD]])</f>
        <v>20.85</v>
      </c>
      <c r="V22" s="22">
        <f>((([APLICAÇÃO] * 2) - [TAXA VD]) - ([APLICAÇÃO] + [TAXA CP])) * 0.85</f>
        <v>1581.7140000000002</v>
      </c>
      <c r="W22" s="23">
        <f>[APLICAÇÃO] - (ROUND([RENDA FIXA] * 0.1,2))</f>
        <v>1900</v>
      </c>
      <c r="X22" s="24">
        <f>Tabela134[[#This Row],[PERDA MAX]]/Tabela134[[#This Row],[APLICAÇÃO]]</f>
        <v>1</v>
      </c>
      <c r="Y22" s="25">
        <f>IF([LUCRO] &lt; ([RENDA FIXA]/2), 0.8, 0.8)</f>
        <v>0.8</v>
      </c>
      <c r="Z22" s="22">
        <f>IF([LUCRO] &lt; 0, 0, ROUND([LUCRO]*[NO BOLSO], 2))</f>
        <v>0</v>
      </c>
      <c r="AA22" s="22">
        <f>[LUCRO]-[PROTEÇÃO MÊS]</f>
        <v>0</v>
      </c>
      <c r="AB22" s="22">
        <f>[RENDA FIXA] + [PROTEÇÃO MÊS] - [APORTE RF]</f>
        <v>0</v>
      </c>
      <c r="AC22" s="22">
        <f>[TOT RF] + [REINVESTIR] + [APLICAÇÃO]</f>
        <v>1900</v>
      </c>
    </row>
    <row r="23" spans="1:29">
      <c r="A23" s="1" t="s">
        <v>37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7"/>
      <c r="Z23" s="17"/>
      <c r="AA23" s="17"/>
      <c r="AB23" s="17"/>
      <c r="AC23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47" t="s">
        <v>10</v>
      </c>
      <c r="B1" s="47"/>
      <c r="C1" s="47"/>
      <c r="D1" s="47" t="s">
        <v>11</v>
      </c>
      <c r="E1" s="47"/>
      <c r="F1" s="47"/>
      <c r="G1" s="48" t="s">
        <v>22</v>
      </c>
      <c r="H1" s="48" t="s">
        <v>18</v>
      </c>
      <c r="I1" s="48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48"/>
      <c r="H2" s="48"/>
      <c r="I2" s="48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F4" sqref="F4"/>
    </sheetView>
  </sheetViews>
  <sheetFormatPr defaultRowHeight="11.25"/>
  <cols>
    <col min="1" max="1" width="10" style="26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1.5703125" style="3" bestFit="1" customWidth="1"/>
    <col min="7" max="7" width="15.140625" style="1" bestFit="1" customWidth="1"/>
    <col min="8" max="16384" width="9.140625" style="1"/>
  </cols>
  <sheetData>
    <row r="1" spans="1:7" s="27" customFormat="1" ht="12" thickBot="1">
      <c r="A1" s="38" t="s">
        <v>3</v>
      </c>
      <c r="B1" s="39" t="s">
        <v>39</v>
      </c>
      <c r="C1" s="39" t="s">
        <v>40</v>
      </c>
      <c r="D1" s="40" t="s">
        <v>41</v>
      </c>
      <c r="E1" s="40" t="s">
        <v>42</v>
      </c>
      <c r="F1" s="39" t="s">
        <v>43</v>
      </c>
      <c r="G1" s="39" t="s">
        <v>44</v>
      </c>
    </row>
    <row r="2" spans="1:7" ht="12" thickTop="1">
      <c r="A2" s="41">
        <f>VOLATILIDADE!B2</f>
        <v>41000</v>
      </c>
      <c r="B2" s="42">
        <f>Tabela13[PROTEÇÃO MÊS]+Tabela134[PROTEÇÃO MÊS]+Tabela1[PROTEÇÃO MÊS]</f>
        <v>293.5</v>
      </c>
      <c r="C2" s="3">
        <v>0</v>
      </c>
      <c r="D2" s="43">
        <f>C2*25%</f>
        <v>0</v>
      </c>
      <c r="E2" s="42">
        <f>B2+D2</f>
        <v>293.5</v>
      </c>
      <c r="F2" s="42">
        <f>Tabela1[TOT RF]+Tabela13[TOT RF]</f>
        <v>293.5</v>
      </c>
      <c r="G2" s="42">
        <f>Tabela1[PATRIMÔNIO]+Tabela13[PATRIMÔNIO]</f>
        <v>466.88</v>
      </c>
    </row>
    <row r="3" spans="1:7">
      <c r="A3" s="41">
        <f>VOLATILIDADE!B3</f>
        <v>41030</v>
      </c>
      <c r="B3" s="42">
        <f>Tabela13[PROTEÇÃO MÊS]+Tabela134[PROTEÇÃO MÊS]+Tabela1[PROTEÇÃO MÊS]</f>
        <v>393.25</v>
      </c>
      <c r="C3" s="3">
        <v>64.180000000000007</v>
      </c>
      <c r="D3" s="43">
        <f>C3*25%</f>
        <v>16.045000000000002</v>
      </c>
      <c r="E3" s="42">
        <f>B3+D3</f>
        <v>409.29500000000002</v>
      </c>
      <c r="F3" s="42">
        <f>Tabela1[TOT RF]+Tabela13[TOT RF]</f>
        <v>686.75</v>
      </c>
      <c r="G3" s="42">
        <f>Tabela1[PATRIMÔNIO]+Tabela13[PATRIMÔNIO]</f>
        <v>1758.44</v>
      </c>
    </row>
    <row r="4" spans="1:7">
      <c r="A4" s="41">
        <f>VOLATILIDADE!B4</f>
        <v>41061</v>
      </c>
      <c r="B4" s="42">
        <f>Tabela13[PROTEÇÃO MÊS]+Tabela134[PROTEÇÃO MÊS]+Tabela1[PROTEÇÃO MÊS]</f>
        <v>1037.6199999999999</v>
      </c>
      <c r="C4" s="3">
        <v>0</v>
      </c>
      <c r="D4" s="43">
        <f>C4*25%</f>
        <v>0</v>
      </c>
      <c r="E4" s="42">
        <f>B4+D4</f>
        <v>1037.6199999999999</v>
      </c>
      <c r="F4" s="42">
        <f>Tabela1[TOT RF]+Tabela13[TOT RF]</f>
        <v>1724.37</v>
      </c>
      <c r="G4" s="42">
        <f>Tabela1[PATRIMÔNIO]+Tabela13[PATRIMÔNIO]</f>
        <v>3555.46</v>
      </c>
    </row>
    <row r="5" spans="1:7">
      <c r="A5" s="41">
        <f>VOLATILIDADE!B5</f>
        <v>41091</v>
      </c>
      <c r="B5" s="42">
        <f>Tabela13[PROTEÇÃO MÊS]+Tabela134[PROTEÇÃO MÊS]+Tabela1[PROTEÇÃO MÊS]</f>
        <v>1540.02</v>
      </c>
      <c r="C5" s="3">
        <v>0</v>
      </c>
      <c r="D5" s="43">
        <f>C5*25%</f>
        <v>0</v>
      </c>
      <c r="E5" s="42">
        <f>B5+D5</f>
        <v>1540.02</v>
      </c>
      <c r="F5" s="42">
        <f>Tabela1[TOT RF]+Tabela13[TOT RF]</f>
        <v>3264.3900000000003</v>
      </c>
      <c r="G5" s="42">
        <f>Tabela1[PATRIMÔNIO]+Tabela13[PATRIMÔNIO]</f>
        <v>5980.4900000000007</v>
      </c>
    </row>
    <row r="6" spans="1:7">
      <c r="A6" s="41">
        <f>VOLATILIDADE!B6</f>
        <v>41122</v>
      </c>
      <c r="B6" s="42">
        <f>Tabela13[PROTEÇÃO MÊS]+Tabela134[PROTEÇÃO MÊS]+Tabela1[PROTEÇÃO MÊS]</f>
        <v>2158.29</v>
      </c>
      <c r="C6" s="3">
        <v>0</v>
      </c>
      <c r="D6" s="43">
        <f t="shared" ref="D6:D22" si="0">C6*25%</f>
        <v>0</v>
      </c>
      <c r="E6" s="42">
        <f t="shared" ref="E6:E10" si="1">B6+D6</f>
        <v>2158.29</v>
      </c>
      <c r="F6" s="42">
        <f>Tabela1[TOT RF]+Tabela13[TOT RF]</f>
        <v>5418.57</v>
      </c>
      <c r="G6" s="42">
        <f>Tabela1[PATRIMÔNIO]+Tabela13[PATRIMÔNIO]</f>
        <v>9209.25</v>
      </c>
    </row>
    <row r="7" spans="1:7">
      <c r="A7" s="41">
        <f>VOLATILIDADE!B7</f>
        <v>41153</v>
      </c>
      <c r="B7" s="42">
        <f>Tabela13[PROTEÇÃO MÊS]+Tabela134[PROTEÇÃO MÊS]+Tabela1[PROTEÇÃO MÊS]</f>
        <v>2886.08</v>
      </c>
      <c r="C7" s="3">
        <v>0</v>
      </c>
      <c r="D7" s="43">
        <f t="shared" si="0"/>
        <v>0</v>
      </c>
      <c r="E7" s="42">
        <f t="shared" si="1"/>
        <v>2886.08</v>
      </c>
      <c r="F7" s="42">
        <f>Tabela1[TOT RF]+Tabela13[TOT RF]</f>
        <v>8304.6500000000015</v>
      </c>
      <c r="G7" s="42">
        <f>Tabela1[PATRIMÔNIO]+Tabela13[PATRIMÔNIO]</f>
        <v>13351.86</v>
      </c>
    </row>
    <row r="8" spans="1:7">
      <c r="A8" s="41">
        <f>VOLATILIDADE!B8</f>
        <v>41183</v>
      </c>
      <c r="B8" s="42">
        <f>Tabela13[PROTEÇÃO MÊS]+Tabela134[PROTEÇÃO MÊS]+Tabela1[PROTEÇÃO MÊS]</f>
        <v>3737.09</v>
      </c>
      <c r="C8" s="3">
        <v>0</v>
      </c>
      <c r="D8" s="43">
        <f t="shared" si="0"/>
        <v>0</v>
      </c>
      <c r="E8" s="42">
        <f t="shared" si="1"/>
        <v>3737.09</v>
      </c>
      <c r="F8" s="42">
        <f>Tabela1[TOT RF]+Tabela13[TOT RF]</f>
        <v>12041.74</v>
      </c>
      <c r="G8" s="42">
        <f>Tabela1[PATRIMÔNIO]+Tabela13[PATRIMÔNIO]</f>
        <v>18558.22</v>
      </c>
    </row>
    <row r="9" spans="1:7">
      <c r="A9" s="41">
        <f>VOLATILIDADE!B9</f>
        <v>41214</v>
      </c>
      <c r="B9" s="42">
        <f>Tabela13[PROTEÇÃO MÊS]+Tabela134[PROTEÇÃO MÊS]+Tabela1[PROTEÇÃO MÊS]</f>
        <v>4732.17</v>
      </c>
      <c r="C9" s="3">
        <v>0</v>
      </c>
      <c r="D9" s="43">
        <f t="shared" si="0"/>
        <v>0</v>
      </c>
      <c r="E9" s="42">
        <f t="shared" si="1"/>
        <v>4732.17</v>
      </c>
      <c r="F9" s="42">
        <f>Tabela1[TOT RF]+Tabela13[TOT RF]</f>
        <v>16773.91</v>
      </c>
      <c r="G9" s="42">
        <f>Tabela1[PATRIMÔNIO]+Tabela13[PATRIMÔNIO]</f>
        <v>25008.440000000002</v>
      </c>
    </row>
    <row r="10" spans="1:7">
      <c r="A10" s="41">
        <f>VOLATILIDADE!B10</f>
        <v>41244</v>
      </c>
      <c r="B10" s="42">
        <f>Tabela13[PROTEÇÃO MÊS]+Tabela134[PROTEÇÃO MÊS]+Tabela1[PROTEÇÃO MÊS]</f>
        <v>5895.76</v>
      </c>
      <c r="C10" s="3">
        <v>0</v>
      </c>
      <c r="D10" s="43">
        <f t="shared" si="0"/>
        <v>0</v>
      </c>
      <c r="E10" s="42">
        <f t="shared" si="1"/>
        <v>5895.76</v>
      </c>
      <c r="F10" s="42">
        <f>Tabela1[TOT RF]+Tabela13[TOT RF]</f>
        <v>22669.670000000002</v>
      </c>
      <c r="G10" s="42">
        <f>Tabela1[PATRIMÔNIO]+Tabela13[PATRIMÔNIO]</f>
        <v>32913.130000000005</v>
      </c>
    </row>
    <row r="11" spans="1:7">
      <c r="A11" s="41">
        <f>VOLATILIDADE!B11</f>
        <v>41275</v>
      </c>
      <c r="B11" s="42">
        <f>Tabela13[PROTEÇÃO MÊS]+Tabela134[PROTEÇÃO MÊS]+Tabela1[PROTEÇÃO MÊS]</f>
        <v>7256.3200000000006</v>
      </c>
      <c r="C11" s="3">
        <v>0</v>
      </c>
      <c r="D11" s="43">
        <f t="shared" si="0"/>
        <v>0</v>
      </c>
      <c r="E11" s="42">
        <f t="shared" ref="E11:E16" si="2">B11+D11</f>
        <v>7256.3200000000006</v>
      </c>
      <c r="F11" s="42">
        <f>Tabela1[TOT RF]+Tabela13[TOT RF]</f>
        <v>29925.990000000005</v>
      </c>
      <c r="G11" s="42">
        <f>Tabela1[PATRIMÔNIO]+Tabela13[PATRIMÔNIO]</f>
        <v>42518.540000000008</v>
      </c>
    </row>
    <row r="12" spans="1:7">
      <c r="A12" s="41">
        <f>VOLATILIDADE!B12</f>
        <v>41306</v>
      </c>
      <c r="B12" s="42">
        <f>Tabela13[PROTEÇÃO MÊS]+Tabela134[PROTEÇÃO MÊS]+Tabela1[PROTEÇÃO MÊS]</f>
        <v>8847.2899999999991</v>
      </c>
      <c r="C12" s="3">
        <v>0</v>
      </c>
      <c r="D12" s="43">
        <f t="shared" si="0"/>
        <v>0</v>
      </c>
      <c r="E12" s="42">
        <f t="shared" si="2"/>
        <v>8847.2899999999991</v>
      </c>
      <c r="F12" s="42">
        <f>Tabela1[TOT RF]+Tabela13[TOT RF]</f>
        <v>38773.279999999999</v>
      </c>
      <c r="G12" s="42">
        <f>Tabela1[PATRIMÔNIO]+Tabela13[PATRIMÔNIO]</f>
        <v>54112.659999999996</v>
      </c>
    </row>
    <row r="13" spans="1:7">
      <c r="A13" s="41">
        <f>VOLATILIDADE!B13</f>
        <v>41334</v>
      </c>
      <c r="B13" s="42">
        <f>Tabela13[PROTEÇÃO MÊS]+Tabela134[PROTEÇÃO MÊS]+Tabela1[PROTEÇÃO MÊS]</f>
        <v>10887.119999999999</v>
      </c>
      <c r="C13" s="3">
        <v>0</v>
      </c>
      <c r="D13" s="43">
        <f t="shared" si="0"/>
        <v>0</v>
      </c>
      <c r="E13" s="42">
        <f t="shared" si="2"/>
        <v>10887.119999999999</v>
      </c>
      <c r="F13" s="42">
        <f>Tabela1[TOT RF]+Tabela13[TOT RF]</f>
        <v>49660.399999999994</v>
      </c>
      <c r="G13" s="42">
        <f>Tabela1[PATRIMÔNIO]+Tabela13[PATRIMÔNIO]</f>
        <v>68521.56</v>
      </c>
    </row>
    <row r="14" spans="1:7">
      <c r="A14" s="41">
        <f>VOLATILIDADE!B14</f>
        <v>41365</v>
      </c>
      <c r="B14" s="42">
        <f>Tabela13[PROTEÇÃO MÊS]+Tabela134[PROTEÇÃO MÊS]+Tabela1[PROTEÇÃO MÊS]</f>
        <v>13272.32</v>
      </c>
      <c r="C14" s="3">
        <v>0</v>
      </c>
      <c r="D14" s="43">
        <f t="shared" si="0"/>
        <v>0</v>
      </c>
      <c r="E14" s="42">
        <f t="shared" si="2"/>
        <v>13272.32</v>
      </c>
      <c r="F14" s="42">
        <f>Tabela1[TOT RF]+Tabela13[TOT RF]</f>
        <v>62932.72</v>
      </c>
      <c r="G14" s="42">
        <f>Tabela1[PATRIMÔNIO]+Tabela13[PATRIMÔNIO]</f>
        <v>85911.949999999983</v>
      </c>
    </row>
    <row r="15" spans="1:7">
      <c r="A15" s="41">
        <f>VOLATILIDADE!B15</f>
        <v>41395</v>
      </c>
      <c r="B15" s="42">
        <f>Tabela13[PROTEÇÃO MÊS]+Tabela134[PROTEÇÃO MÊS]+Tabela1[PROTEÇÃO MÊS]</f>
        <v>16061.33</v>
      </c>
      <c r="C15" s="3">
        <v>0</v>
      </c>
      <c r="D15" s="43">
        <f t="shared" si="0"/>
        <v>0</v>
      </c>
      <c r="E15" s="42">
        <f t="shared" si="2"/>
        <v>16061.33</v>
      </c>
      <c r="F15" s="42">
        <f>Tabela1[TOT RF]+Tabela13[TOT RF]</f>
        <v>78994.05</v>
      </c>
      <c r="G15" s="42">
        <f>Tabela1[PATRIMÔNIO]+Tabela13[PATRIMÔNIO]</f>
        <v>106788.61000000002</v>
      </c>
    </row>
    <row r="16" spans="1:7">
      <c r="A16" s="41">
        <f>VOLATILIDADE!B16</f>
        <v>41426</v>
      </c>
      <c r="B16" s="42">
        <f>Tabela13[PROTEÇÃO MÊS]+Tabela134[PROTEÇÃO MÊS]+Tabela1[PROTEÇÃO MÊS]</f>
        <v>19322.57</v>
      </c>
      <c r="C16" s="3">
        <v>0</v>
      </c>
      <c r="D16" s="43">
        <f t="shared" si="0"/>
        <v>0</v>
      </c>
      <c r="E16" s="42">
        <f t="shared" si="2"/>
        <v>19322.57</v>
      </c>
      <c r="F16" s="42">
        <f>Tabela1[TOT RF]+Tabela13[TOT RF]</f>
        <v>98316.62</v>
      </c>
      <c r="G16" s="42">
        <f>Tabela1[PATRIMÔNIO]+Tabela13[PATRIMÔNIO]</f>
        <v>131741.82</v>
      </c>
    </row>
    <row r="17" spans="1:7">
      <c r="A17" s="41">
        <f>VOLATILIDADE!B17</f>
        <v>41456</v>
      </c>
      <c r="B17" s="42">
        <f>Tabela13[PROTEÇÃO MÊS]+Tabela134[PROTEÇÃO MÊS]+Tabela1[PROTEÇÃO MÊS]</f>
        <v>23136.04</v>
      </c>
      <c r="C17" s="3">
        <v>0</v>
      </c>
      <c r="D17" s="43">
        <f t="shared" si="0"/>
        <v>0</v>
      </c>
      <c r="E17" s="42">
        <f t="shared" ref="E17:E22" si="3">B17+D17</f>
        <v>23136.04</v>
      </c>
      <c r="F17" s="42">
        <f>Tabela1[TOT RF]+Tabela13[TOT RF]</f>
        <v>121452.66</v>
      </c>
      <c r="G17" s="42">
        <f>Tabela1[PATRIMÔNIO]+Tabela13[PATRIMÔNIO]</f>
        <v>161461.87</v>
      </c>
    </row>
    <row r="18" spans="1:7">
      <c r="A18" s="41">
        <f>VOLATILIDADE!B18</f>
        <v>41487</v>
      </c>
      <c r="B18" s="42">
        <f>Tabela13[PROTEÇÃO MÊS]+Tabela134[PROTEÇÃO MÊS]+Tabela1[PROTEÇÃO MÊS]</f>
        <v>27595.17</v>
      </c>
      <c r="C18" s="3">
        <v>0</v>
      </c>
      <c r="D18" s="43">
        <f t="shared" si="0"/>
        <v>0</v>
      </c>
      <c r="E18" s="42">
        <f t="shared" si="3"/>
        <v>27595.17</v>
      </c>
      <c r="F18" s="42">
        <f>Tabela1[TOT RF]+Tabela13[TOT RF]</f>
        <v>149047.83000000002</v>
      </c>
      <c r="G18" s="42">
        <f>Tabela1[PATRIMÔNIO]+Tabela13[PATRIMÔNIO]</f>
        <v>196755.83000000002</v>
      </c>
    </row>
    <row r="19" spans="1:7">
      <c r="A19" s="41">
        <f>VOLATILIDADE!B19</f>
        <v>41518</v>
      </c>
      <c r="B19" s="42">
        <f>Tabela13[PROTEÇÃO MÊS]+Tabela134[PROTEÇÃO MÊS]+Tabela1[PROTEÇÃO MÊS]</f>
        <v>32809.300000000003</v>
      </c>
      <c r="C19" s="3">
        <v>0</v>
      </c>
      <c r="D19" s="43">
        <f t="shared" si="0"/>
        <v>0</v>
      </c>
      <c r="E19" s="42">
        <f t="shared" si="3"/>
        <v>32809.300000000003</v>
      </c>
      <c r="F19" s="42">
        <f>Tabela1[TOT RF]+Tabela13[TOT RF]</f>
        <v>181857.13</v>
      </c>
      <c r="G19" s="42">
        <f>Tabela1[PATRIMÔNIO]+Tabela13[PATRIMÔNIO]</f>
        <v>238567.46000000002</v>
      </c>
    </row>
    <row r="20" spans="1:7">
      <c r="A20" s="41">
        <f>VOLATILIDADE!B20</f>
        <v>41548</v>
      </c>
      <c r="B20" s="42">
        <f>Tabela13[PROTEÇÃO MÊS]+Tabela134[PROTEÇÃO MÊS]+Tabela1[PROTEÇÃO MÊS]</f>
        <v>38906.259999999995</v>
      </c>
      <c r="C20" s="3">
        <v>0</v>
      </c>
      <c r="D20" s="43">
        <f t="shared" si="0"/>
        <v>0</v>
      </c>
      <c r="E20" s="42">
        <f t="shared" si="3"/>
        <v>38906.259999999995</v>
      </c>
      <c r="F20" s="42">
        <f>Tabela1[TOT RF]+Tabela13[TOT RF]</f>
        <v>220763.38999999998</v>
      </c>
      <c r="G20" s="42">
        <f>Tabela1[PATRIMÔNIO]+Tabela13[PATRIMÔNIO]</f>
        <v>288000.28000000003</v>
      </c>
    </row>
    <row r="21" spans="1:7">
      <c r="A21" s="41">
        <f>VOLATILIDADE!B21</f>
        <v>41579</v>
      </c>
      <c r="B21" s="42">
        <f>Tabela13[PROTEÇÃO MÊS]+Tabela134[PROTEÇÃO MÊS]+Tabela1[PROTEÇÃO MÊS]</f>
        <v>46035.55</v>
      </c>
      <c r="C21" s="3">
        <v>0</v>
      </c>
      <c r="D21" s="43">
        <f t="shared" si="0"/>
        <v>0</v>
      </c>
      <c r="E21" s="42">
        <f t="shared" si="3"/>
        <v>46035.55</v>
      </c>
      <c r="F21" s="42">
        <f>Tabela1[TOT RF]+Tabela13[TOT RF]</f>
        <v>266798.94</v>
      </c>
      <c r="G21" s="42">
        <f>Tabela1[PATRIMÔNIO]+Tabela13[PATRIMÔNIO]</f>
        <v>346344.72000000003</v>
      </c>
    </row>
    <row r="22" spans="1:7">
      <c r="A22" s="41">
        <f>VOLATILIDADE!B22</f>
        <v>41609</v>
      </c>
      <c r="B22" s="42">
        <f>Tabela13[PROTEÇÃO MÊS]+Tabela134[PROTEÇÃO MÊS]+Tabela1[PROTEÇÃO MÊS]</f>
        <v>54371.950000000004</v>
      </c>
      <c r="C22" s="3">
        <v>0</v>
      </c>
      <c r="D22" s="43">
        <f t="shared" si="0"/>
        <v>0</v>
      </c>
      <c r="E22" s="42">
        <f t="shared" si="3"/>
        <v>54371.950000000004</v>
      </c>
      <c r="F22" s="42">
        <f>Tabela1[TOT RF]+Tabela13[TOT RF]</f>
        <v>321170.89</v>
      </c>
      <c r="G22" s="42">
        <f>Tabela1[PATRIMÔNIO]+Tabela13[PATRIMÔNIO]</f>
        <v>415109.66000000003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2012-07-05T16:54:26Z</dcterms:modified>
</cp:coreProperties>
</file>