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2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X63"/>
  <c r="AB63"/>
  <c r="AC63"/>
  <c r="K62"/>
  <c r="L62"/>
  <c r="N62"/>
  <c r="S62"/>
  <c r="X62"/>
  <c r="AB62"/>
  <c r="AC62"/>
  <c r="AH62"/>
  <c r="AI62"/>
  <c r="AJ62"/>
  <c r="K61"/>
  <c r="L61"/>
  <c r="N61"/>
  <c r="S61"/>
  <c r="X61"/>
  <c r="AB61"/>
  <c r="AC61"/>
  <c r="AE61"/>
  <c r="K60"/>
  <c r="L60"/>
  <c r="N60"/>
  <c r="S60"/>
  <c r="X60"/>
  <c r="AB60"/>
  <c r="AC60"/>
  <c r="AD60"/>
  <c r="AH60"/>
  <c r="AI60"/>
  <c r="AJ60"/>
  <c r="H5" i="6"/>
  <c r="I5"/>
  <c r="K5"/>
  <c r="J5" s="1"/>
  <c r="L5" s="1"/>
  <c r="M5"/>
  <c r="N5"/>
  <c r="O5" l="1"/>
  <c r="X2" i="1"/>
  <c r="X3"/>
  <c r="X4"/>
  <c r="X6"/>
  <c r="X7"/>
  <c r="X8"/>
  <c r="X9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6"/>
  <c r="X57"/>
  <c r="X58"/>
  <c r="X59"/>
  <c r="S54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63" l="1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63" i="1" l="1"/>
  <c r="V63"/>
  <c r="W63"/>
  <c r="U62"/>
  <c r="V62"/>
  <c r="W62"/>
  <c r="U61"/>
  <c r="V61"/>
  <c r="W61"/>
  <c r="U60"/>
  <c r="V60"/>
  <c r="W60"/>
  <c r="M5" i="8"/>
  <c r="N5" s="1"/>
  <c r="M4"/>
  <c r="N4" s="1"/>
  <c r="M3"/>
  <c r="N3" s="1"/>
  <c r="M2"/>
  <c r="N2" s="1"/>
  <c r="N6" l="1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I9" i="4"/>
  <c r="J9"/>
  <c r="K9"/>
  <c r="L9"/>
  <c r="H9" s="1"/>
  <c r="M9"/>
  <c r="N9"/>
  <c r="O9"/>
  <c r="P9"/>
  <c r="K51" i="1" l="1"/>
  <c r="L51"/>
  <c r="U51"/>
  <c r="V51"/>
  <c r="AB51"/>
  <c r="AC51"/>
  <c r="AH51"/>
  <c r="AI51"/>
  <c r="K48"/>
  <c r="L48"/>
  <c r="U48"/>
  <c r="V48"/>
  <c r="AB48"/>
  <c r="AC48"/>
  <c r="AE48"/>
  <c r="I8" i="4" l="1"/>
  <c r="J8"/>
  <c r="K8"/>
  <c r="L8"/>
  <c r="M8"/>
  <c r="O8"/>
  <c r="J3" i="5"/>
  <c r="K3"/>
  <c r="L3"/>
  <c r="M3"/>
  <c r="N3"/>
  <c r="O3"/>
  <c r="Q3" s="1"/>
  <c r="P3"/>
  <c r="R3"/>
  <c r="S3"/>
  <c r="T3"/>
  <c r="U3"/>
  <c r="V3"/>
  <c r="H8" i="4" l="1"/>
  <c r="N8"/>
  <c r="P8" s="1"/>
  <c r="I5" i="7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I7" i="4"/>
  <c r="J7"/>
  <c r="K7"/>
  <c r="L7" s="1"/>
  <c r="N7" s="1"/>
  <c r="O7"/>
  <c r="I6"/>
  <c r="J6"/>
  <c r="K6" s="1"/>
  <c r="L6" s="1"/>
  <c r="N6" s="1"/>
  <c r="O6"/>
  <c r="H4" i="6"/>
  <c r="M4" s="1"/>
  <c r="I4"/>
  <c r="N4"/>
  <c r="M7" i="4" l="1"/>
  <c r="M6"/>
  <c r="U50" i="1"/>
  <c r="K4" i="6"/>
  <c r="J4" s="1"/>
  <c r="L4" s="1"/>
  <c r="V47" i="1"/>
  <c r="H6" i="4"/>
  <c r="H7"/>
  <c r="L2" i="7"/>
  <c r="O2" s="1"/>
  <c r="L3"/>
  <c r="O3" s="1"/>
  <c r="L4"/>
  <c r="O4" s="1"/>
  <c r="O4" i="6"/>
  <c r="P7" i="4" l="1"/>
  <c r="P6"/>
  <c r="H3" i="6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I5" i="4"/>
  <c r="J5"/>
  <c r="K5"/>
  <c r="L5" s="1"/>
  <c r="N5" s="1"/>
  <c r="O5"/>
  <c r="K45" i="1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H5" i="4" l="1"/>
  <c r="M5"/>
  <c r="V37" i="1"/>
  <c r="I4" i="4"/>
  <c r="J4"/>
  <c r="K4" s="1"/>
  <c r="L4" s="1"/>
  <c r="N4" s="1"/>
  <c r="O4"/>
  <c r="H4" l="1"/>
  <c r="M4"/>
  <c r="P5"/>
  <c r="J2" i="5"/>
  <c r="K2"/>
  <c r="L2"/>
  <c r="U2"/>
  <c r="I2" i="4"/>
  <c r="I3"/>
  <c r="O2"/>
  <c r="O3"/>
  <c r="J2"/>
  <c r="J3"/>
  <c r="P4" l="1"/>
  <c r="M2" i="5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64"/>
  <c r="G64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62" l="1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Q23"/>
  <c r="R23"/>
  <c r="O23"/>
  <c r="W23" s="1"/>
  <c r="Q22"/>
  <c r="R22"/>
  <c r="O22"/>
  <c r="W22" s="1"/>
  <c r="M21"/>
  <c r="M22"/>
  <c r="Q21"/>
  <c r="R21"/>
  <c r="O21"/>
  <c r="W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W8"/>
  <c r="W7"/>
  <c r="W10"/>
  <c r="X10" s="1"/>
  <c r="W9"/>
  <c r="W12"/>
  <c r="W11"/>
  <c r="W15"/>
  <c r="W14"/>
  <c r="W13"/>
  <c r="W16"/>
  <c r="W17"/>
  <c r="W18"/>
  <c r="W19"/>
  <c r="W20"/>
  <c r="W25"/>
  <c r="W27"/>
  <c r="W26"/>
  <c r="W28"/>
  <c r="W29"/>
  <c r="W30"/>
  <c r="W35"/>
  <c r="W42"/>
  <c r="W31"/>
  <c r="W32"/>
  <c r="W33"/>
  <c r="W34"/>
  <c r="W44"/>
  <c r="W40"/>
  <c r="W43"/>
  <c r="W36"/>
  <c r="W37"/>
  <c r="W41"/>
  <c r="W45"/>
  <c r="W38"/>
  <c r="W39"/>
  <c r="W59"/>
  <c r="W49"/>
  <c r="W46"/>
  <c r="W47"/>
  <c r="W58"/>
  <c r="W50"/>
  <c r="W48"/>
  <c r="W51"/>
  <c r="W52"/>
  <c r="W53"/>
  <c r="W54"/>
  <c r="W56"/>
  <c r="W55"/>
  <c r="X55" s="1"/>
  <c r="W57"/>
  <c r="AI18"/>
  <c r="M4"/>
  <c r="M3"/>
  <c r="M2"/>
  <c r="AJ63" l="1"/>
  <c r="Y62"/>
  <c r="Y63"/>
  <c r="Y60"/>
  <c r="Y61"/>
  <c r="AJ61"/>
  <c r="O4"/>
  <c r="W4" s="1"/>
  <c r="O3"/>
  <c r="W3" s="1"/>
  <c r="O2"/>
  <c r="W2" s="1"/>
  <c r="AJ58" l="1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64"/>
  <c r="Y2" l="1"/>
  <c r="Z62" l="1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63" l="1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62" l="1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64"/>
  <c r="J64" s="1"/>
  <c r="AI30"/>
  <c r="AH30"/>
  <c r="AH20"/>
  <c r="AI20"/>
  <c r="AH63" l="1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<sst xmlns="http://schemas.openxmlformats.org/spreadsheetml/2006/main" count="367" uniqueCount="138">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</sst>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2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10" fillId="0" borderId="0" xfId="0" applyFont="1"/>
    <xf numFmtId="0" fontId="10" fillId="0" borderId="0" xfId="0" applyNumberFormat="1" applyFont="1"/>
    <xf numFmtId="164" fontId="10" fillId="0" borderId="0" xfId="1" applyNumberFormat="1" applyFont="1" applyBorder="1"/>
    <xf numFmtId="0" fontId="10" fillId="0" borderId="0" xfId="1" applyNumberFormat="1" applyFont="1" applyBorder="1"/>
    <xf numFmtId="10" fontId="10" fillId="0" borderId="0" xfId="2" applyNumberFormat="1" applyFont="1" applyBorder="1"/>
    <xf numFmtId="170" fontId="10" fillId="0" borderId="0" xfId="2" applyNumberFormat="1" applyFont="1" applyBorder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64" totalsRowCount="1" headerRowDxfId="271" dataDxfId="270" totalsRowDxfId="269">
  <autoFilter ref="A1:AJ63">
    <filterColumn colId="7"/>
    <filterColumn colId="8"/>
    <filterColumn colId="18"/>
    <filterColumn colId="35"/>
  </autoFilter>
  <sortState ref="A2:AJ63">
    <sortCondition ref="E1:E59"/>
  </sortState>
  <tableColumns count="36">
    <tableColumn id="19" name="ID" totalsRowFunction="max" dataDxfId="268" totalsRowDxfId="47"/>
    <tableColumn id="36" name="U" dataDxfId="267" totalsRowDxfId="46"/>
    <tableColumn id="2" name="ATIVO" dataDxfId="266" totalsRowDxfId="45"/>
    <tableColumn id="3" name="T" dataDxfId="265" totalsRowDxfId="44"/>
    <tableColumn id="4" name="DATA" dataDxfId="264" totalsRowDxfId="43"/>
    <tableColumn id="5" name="QTDE" dataDxfId="263" totalsRowDxfId="42"/>
    <tableColumn id="6" name="PREÇO" totalsRowFunction="custom" dataDxfId="262" totalsRowDxfId="41">
      <totalsRowFormula>NC[[#Totals],[ID]]*14.9</totalsRowFormula>
    </tableColumn>
    <tableColumn id="37" name="PARCIAL" dataDxfId="261" totalsRowDxfId="40"/>
    <tableColumn id="40" name="AJUSTE" dataDxfId="260" totalsRowDxfId="39" dataCellStyle="Moeda"/>
    <tableColumn id="7" name="[D/N]" totalsRowFunction="custom" dataDxfId="259" totalsRowDxfId="38">
      <totalsRowFormula>NC[[#Totals],[LUCRO P/ OP]]+NC[[#Totals],[PREÇO]]</totalsRowFormula>
    </tableColumn>
    <tableColumn id="34" name="DATA DE LIQUIDAÇÃO" dataDxfId="258" totalsRowDxfId="37">
      <calculatedColumnFormula>WORKDAY(NC[[#This Row],[DATA]],1,0)</calculatedColumnFormula>
    </tableColumn>
    <tableColumn id="31" name="DATA BASE" dataDxfId="257" totalsRowDxfId="36">
      <calculatedColumnFormula>EOMONTH(NC[[#This Row],[DATA DE LIQUIDAÇÃO]],0)</calculatedColumnFormula>
    </tableColumn>
    <tableColumn id="21" name="PAR" dataDxfId="256" totalsRowDxfId="35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34">
      <calculatedColumnFormula>[QTDE]*[PREÇO]</calculatedColumnFormula>
    </tableColumn>
    <tableColumn id="9" name="VALOR LÍQUIDO DAS OPERAÇÕES" dataDxfId="254" totalsRowDxfId="33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3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31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3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29">
      <calculatedColumnFormula>SETUP!$E$3 * IF([PARCIAL] &gt; 0, [QTDE] / [PARCIAL], 1)</calculatedColumnFormula>
    </tableColumn>
    <tableColumn id="12" name="CORRETAGEM" dataDxfId="249" totalsRowDxfId="28">
      <calculatedColumnFormula>SUMPRODUCT(N([DATA]=NC[[#This Row],[DATA]]),N([ID]&lt;=NC[[#This Row],[ID]]), [CORR])</calculatedColumnFormula>
    </tableColumn>
    <tableColumn id="13" name="ISS" dataDxfId="248" totalsRowDxfId="27">
      <calculatedColumnFormula>TRUNC([CORRETAGEM]*SETUP!$F$3,2)</calculatedColumnFormula>
    </tableColumn>
    <tableColumn id="15" name="OUTRAS BOVESPA" dataDxfId="247" totalsRowDxfId="26">
      <calculatedColumnFormula>ROUND([CORRETAGEM]*SETUP!$G$3,2)</calculatedColumnFormula>
    </tableColumn>
    <tableColumn id="16" name="LÍQUIDO BASE" dataDxfId="246" totalsRowDxfId="25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24">
      <calculatedColumnFormula>IF(AND(['[D/N']]="D",    [T]="CV"),    TRUNC([LÍQUIDO BASE]*0.01, 2),    0)</calculatedColumnFormula>
    </tableColumn>
    <tableColumn id="35" name="LÍQUIDO" dataDxfId="244" totalsRowDxfId="23">
      <calculatedColumnFormula>IF([PREÇO] &gt; 0,    [LÍQUIDO BASE]-SUMPRODUCT(N([DATA]=NC[[#This Row],[DATA]]),    [IRRF FONTE]),    0)</calculatedColumnFormula>
    </tableColumn>
    <tableColumn id="17" name="VALOR OP" dataDxfId="243" totalsRowDxfId="22" dataCellStyle="Moeda">
      <calculatedColumnFormula>[LÍQUIDO]-SUMPRODUCT(N([DATA]=NC[[#This Row],[DATA]]),N([ID]=(NC[[#This Row],[ID]]-1)),[LÍQUIDO])</calculatedColumnFormula>
    </tableColumn>
    <tableColumn id="18" name="MEDIO P/ OP" dataDxfId="242" totalsRowDxfId="21">
      <calculatedColumnFormula>IF([T] = "VC", ABS([VALOR OP]) / [QTDE], [VALOR OP]/[QTDE])</calculatedColumnFormula>
    </tableColumn>
    <tableColumn id="20" name="IRRF" totalsRowFunction="sum" dataDxfId="241" totalsRowDxfId="20">
      <calculatedColumnFormula>TRUNC(IF(OR([T]="CV",[T]="VV"),     N2*SETUP!$H$3,     0),2)</calculatedColumnFormula>
    </tableColumn>
    <tableColumn id="24" name="SALDO" dataDxfId="240" totalsRowDxfId="19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18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17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16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15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14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3">
      <calculatedColumnFormula>IF([U] = "U", SUMPRODUCT(N([DATA BASE]=NC[[#This Row],[DATA BASE]]), N(['[D/N']] = "D"),    [LUCRO P/ OP]), 0)</calculatedColumnFormula>
    </tableColumn>
    <tableColumn id="30" name="IRRF DT" dataDxfId="233" totalsRowDxfId="1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1"/>
    <tableColumn id="10" name="APLICAÇÃO" dataDxfId="199" totalsRowDxfId="10" dataCellStyle="Moeda"/>
    <tableColumn id="2" name="EXERCÍCIO" dataDxfId="198" totalsRowDxfId="9" dataCellStyle="Moeda"/>
    <tableColumn id="3" name="PREÇO OPÇÃO" dataDxfId="197" totalsRowDxfId="8" dataCellStyle="Moeda"/>
    <tableColumn id="4" name="PREÇO AÇÃO" dataDxfId="196" totalsRowDxfId="7" dataCellStyle="Moeda"/>
    <tableColumn id="11" name="QTDE TMP" dataDxfId="195" totalsRowDxfId="6" dataCellStyle="Moeda">
      <calculatedColumnFormula>ROUNDDOWN([APLICAÇÃO]/[PREÇO OPÇÃO], 0)</calculatedColumnFormula>
    </tableColumn>
    <tableColumn id="14" name="QTDE" dataDxfId="194" totalsRowDxfId="5" dataCellStyle="Moeda">
      <calculatedColumnFormula>[QTDE TMP] - MOD([QTDE TMP], 100)</calculatedColumnFormula>
    </tableColumn>
    <tableColumn id="5" name="TARGET 100%" dataDxfId="193" totalsRowDxfId="4" dataCellStyle="Moeda">
      <calculatedColumnFormula>[EXERCÍCIO] + ([PREÇO OPÇÃO] * 2)</calculatedColumnFormula>
    </tableColumn>
    <tableColumn id="6" name="ALTA 100%" dataDxfId="192" totalsRowDxfId="3" dataCellStyle="Porcentagem">
      <calculatedColumnFormula>[TARGET 100%] / [PREÇO AÇÃO] - 1</calculatedColumnFormula>
    </tableColumn>
    <tableColumn id="12" name="LUCRO* 100%" dataDxfId="191" totalsRowDxfId="2" dataCellStyle="Moeda">
      <calculatedColumnFormula>[PREÇO OPÇÃO] * [QTDE] - 30</calculatedColumnFormula>
    </tableColumn>
    <tableColumn id="7" name="GORDURA" dataDxfId="0" totalsRowDxfId="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10" totalsRowCount="1" headerRowDxfId="190" dataDxfId="189">
  <autoFilter ref="A1:P9"/>
  <tableColumns count="16">
    <tableColumn id="1" name="PAPEL" totalsRowLabel="Total" dataDxfId="188" totalsRowDxfId="187"/>
    <tableColumn id="10" name="RISCO" dataDxfId="186" totalsRowDxfId="185" dataCellStyle="Moeda"/>
    <tableColumn id="20" name="PREÇO AÇÃO" dataDxfId="184" totalsRowDxfId="183" dataCellStyle="Moeda"/>
    <tableColumn id="7" name="EXERC. VENDA" dataDxfId="182" totalsRowDxfId="181" dataCellStyle="Moeda"/>
    <tableColumn id="8" name="PREÇO VENDA" dataDxfId="180" totalsRowDxfId="179" dataCellStyle="Moeda"/>
    <tableColumn id="2" name="EXERC. COMPRA" dataDxfId="178" totalsRowDxfId="177" dataCellStyle="Moeda"/>
    <tableColumn id="3" name="PREÇO COMPRA" dataDxfId="176" totalsRowDxfId="175" dataCellStyle="Moeda"/>
    <tableColumn id="4" name="VOLUME" dataDxfId="174" totalsRowDxfId="173" dataCellStyle="Moeda">
      <calculatedColumnFormula>([QTDE] * [PREÇO COMPRA]) + ([QTDE] * [PREÇO VENDA])</calculatedColumnFormula>
    </tableColumn>
    <tableColumn id="18" name="LUCRO P/ OPÇÃO" dataDxfId="172" totalsRowDxfId="171" dataCellStyle="Moeda">
      <calculatedColumnFormula>[PREÇO VENDA]-[PREÇO COMPRA]</calculatedColumnFormula>
    </tableColumn>
    <tableColumn id="19" name="PERDA P/ OPÇÃO" dataDxfId="170" totalsRowDxfId="169" dataCellStyle="Moeda">
      <calculatedColumnFormula>(0.01 - [PREÇO COMPRA]) + ([PREÇO VENDA] - ([EXERC. COMPRA]-[EXERC. VENDA]+0.01))</calculatedColumnFormula>
    </tableColumn>
    <tableColumn id="11" name="QTDE TMP" dataDxfId="168" totalsRowDxfId="167" dataCellStyle="Moeda">
      <calculatedColumnFormula>ROUNDDOWN([RISCO]/ABS([PERDA P/ OPÇÃO]), 0)</calculatedColumnFormula>
    </tableColumn>
    <tableColumn id="14" name="QTDE" dataDxfId="166" totalsRowDxfId="165" dataCellStyle="Moeda">
      <calculatedColumnFormula>[QTDE TMP] - MOD([QTDE TMP], 100)</calculatedColumnFormula>
    </tableColumn>
    <tableColumn id="5" name="LUCRO*" dataDxfId="164" totalsRowDxfId="163" dataCellStyle="Moeda">
      <calculatedColumnFormula>([QTDE]*[LUCRO P/ OPÇÃO]) - 60</calculatedColumnFormula>
    </tableColumn>
    <tableColumn id="6" name="PERDA*" dataDxfId="162" totalsRowDxfId="161" dataCellStyle="Moeda">
      <calculatedColumnFormula>[QTDE]*[PERDA P/ OPÇÃO] - 60</calculatedColumnFormula>
    </tableColumn>
    <tableColumn id="21" name="% QUEDA" dataDxfId="160" totalsRowDxfId="159" dataCellStyle="Porcentagem">
      <calculatedColumnFormula>[EXERC. VENDA]/[PREÇO AÇÃO]-1</calculatedColumnFormula>
    </tableColumn>
    <tableColumn id="22" name="RISCO : 1" dataDxfId="158" totalsRowDxfId="15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4" totalsRowCount="1" headerRowDxfId="156" dataDxfId="155">
  <autoFilter ref="A1:V3"/>
  <tableColumns count="22">
    <tableColumn id="1" name="PAPEL" totalsRowLabel="Total" dataDxfId="154" totalsRowDxfId="153"/>
    <tableColumn id="10" name="BASE" dataDxfId="152" totalsRowDxfId="151" dataCellStyle="Moeda"/>
    <tableColumn id="20" name="PR. AÇÃO" dataDxfId="150" totalsRowDxfId="149" dataCellStyle="Moeda"/>
    <tableColumn id="2" name="EX. CP 1" dataDxfId="148" totalsRowDxfId="147" dataCellStyle="Moeda"/>
    <tableColumn id="3" name="PR CP 1" dataDxfId="146" totalsRowDxfId="145" dataCellStyle="Moeda"/>
    <tableColumn id="12" name="EX. VD" dataDxfId="144" totalsRowDxfId="143" dataCellStyle="Moeda"/>
    <tableColumn id="13" name="PR VD" dataDxfId="142" totalsRowDxfId="141" dataCellStyle="Moeda"/>
    <tableColumn id="8" name="EX. CP 2" dataDxfId="140" totalsRowDxfId="139" dataCellStyle="Moeda"/>
    <tableColumn id="7" name="PR CP 2" dataDxfId="138" totalsRowDxfId="137" dataCellStyle="Moeda"/>
    <tableColumn id="18" name="LUCRO UNI." dataDxfId="136" totalsRowDxfId="135" dataCellStyle="Moeda">
      <calculatedColumnFormula>(([PR VD] - 0.01) * 2) + (([EX. VD] - [EX. CP 1] + 0.01) - [PR CP 1]) + (0.01 - [PR CP 2])</calculatedColumnFormula>
    </tableColumn>
    <tableColumn id="19" name="PERDA 1" dataDxfId="134" totalsRowDxfId="133" dataCellStyle="Moeda">
      <calculatedColumnFormula>(0.01 - [PR CP 1]) + (([PR VD] - 0.01) * 2) + (0.01 - [PR CP 2])</calculatedColumnFormula>
    </tableColumn>
    <tableColumn id="15" name="PERDA 2" dataDxfId="132" totalsRowDxfId="131" dataCellStyle="Moeda">
      <calculatedColumnFormula>(([EX. CP 2] - [EX. CP 1] + 0.01) - [PR CP 1]) + (([PR VD] - ([EX. CP 2] - [EX. VD] + 0.01)) * 2) + (0.01 - [PR CP 2])</calculatedColumnFormula>
    </tableColumn>
    <tableColumn id="16" name="PERDA" dataDxfId="130" totalsRowDxfId="129" dataCellStyle="Moeda">
      <calculatedColumnFormula>IF([PERDA 1] &gt; [PERDA 2], [PERDA 2], [PERDA 1])</calculatedColumnFormula>
    </tableColumn>
    <tableColumn id="11" name="QTDE TMP" dataDxfId="128" totalsRowDxfId="127" dataCellStyle="Moeda">
      <calculatedColumnFormula>ROUNDDOWN([BASE]/ABS([PERDA]), 0)</calculatedColumnFormula>
    </tableColumn>
    <tableColumn id="14" name="QTDE" dataDxfId="126" totalsRowDxfId="125" dataCellStyle="Moeda">
      <calculatedColumnFormula>[QTDE TMP] - MOD([QTDE TMP], 100)</calculatedColumnFormula>
    </tableColumn>
    <tableColumn id="4" name="QTDE VD" dataDxfId="124" totalsRowDxfId="123" dataCellStyle="Moeda">
      <calculatedColumnFormula>Tabela245[[#This Row],[QTDE]]*2</calculatedColumnFormula>
    </tableColumn>
    <tableColumn id="17" name="TOT.  CP" dataDxfId="122" totalsRowDxfId="121" dataCellStyle="Moeda">
      <calculatedColumnFormula>([QTDE]*[PR CP 1] + [QTDE]*[PR CP 2])</calculatedColumnFormula>
    </tableColumn>
    <tableColumn id="9" name="T. VD" dataDxfId="120" totalsRowDxfId="119" dataCellStyle="Moeda">
      <calculatedColumnFormula>[QTDE]*[PR VD] * 2</calculatedColumnFormula>
    </tableColumn>
    <tableColumn id="5" name="LUCRO*" dataDxfId="118" totalsRowDxfId="117" dataCellStyle="Moeda">
      <calculatedColumnFormula>([QTDE]*[LUCRO UNI.] - 90)</calculatedColumnFormula>
    </tableColumn>
    <tableColumn id="6" name="PERDA*" dataDxfId="116" totalsRowDxfId="115" dataCellStyle="Moeda">
      <calculatedColumnFormula>[QTDE]*[PERDA] - 90</calculatedColumnFormula>
    </tableColumn>
    <tableColumn id="21" name="% VAR" dataDxfId="114" totalsRowDxfId="113" dataCellStyle="Porcentagem">
      <calculatedColumnFormula>[EX. VD] / [PR. AÇÃO] - 1</calculatedColumnFormula>
    </tableColumn>
    <tableColumn id="22" name="RISCO : 1" dataDxfId="112" totalsRowDxfId="111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110" dataDxfId="109">
  <autoFilter ref="A1:O5"/>
  <tableColumns count="15">
    <tableColumn id="1" name="PAPEL" totalsRowLabel="Total" dataDxfId="108" totalsRowDxfId="107"/>
    <tableColumn id="10" name="RISCO" dataDxfId="106" totalsRowDxfId="105" dataCellStyle="Moeda"/>
    <tableColumn id="20" name="PREÇO AÇÃO" dataDxfId="104" totalsRowDxfId="103" dataCellStyle="Moeda"/>
    <tableColumn id="7" name="EX. VENDA" dataDxfId="102" totalsRowDxfId="101" dataCellStyle="Moeda"/>
    <tableColumn id="2" name="EX. COMPRA" dataDxfId="100" totalsRowDxfId="99" dataCellStyle="Moeda"/>
    <tableColumn id="3" name="PR COMPRA" dataDxfId="98" totalsRowDxfId="97" dataCellStyle="Moeda"/>
    <tableColumn id="16" name="QTDE" dataDxfId="96" totalsRowDxfId="95" dataCellStyle="Moeda"/>
    <tableColumn id="13" name="PERDA P/ OPÇÃO" dataDxfId="94" totalsRowDxfId="93" dataCellStyle="Moeda">
      <calculatedColumnFormula>-[RISCO]/[QTDE]</calculatedColumnFormula>
    </tableColumn>
    <tableColumn id="14" name="CUSTO CP" dataDxfId="92" totalsRowDxfId="91" dataCellStyle="Moeda">
      <calculatedColumnFormula>[PR COMPRA] * [QTDE]</calculatedColumnFormula>
    </tableColumn>
    <tableColumn id="15" name="LUCRO UNI" dataDxfId="90" totalsRowDxfId="89">
      <calculatedColumnFormula>[PR VENDA]-[PR COMPRA]</calculatedColumnFormula>
    </tableColumn>
    <tableColumn id="8" name="PR VENDA" dataDxfId="88" totalsRowDxfId="87" dataCellStyle="Moeda">
      <calculatedColumnFormula>[PERDA P/ OPÇÃO] + ([EX. COMPRA] - [EX. VENDA] + 0.01) - 0.01 + [PR COMPRA]</calculatedColumnFormula>
    </tableColumn>
    <tableColumn id="5" name="LUCRO*" dataDxfId="86" totalsRowDxfId="85" dataCellStyle="Moeda">
      <calculatedColumnFormula>([QTDE]*[LUCRO UNI])</calculatedColumnFormula>
    </tableColumn>
    <tableColumn id="6" name="PERDA*" dataDxfId="84" totalsRowDxfId="83" dataCellStyle="Moeda">
      <calculatedColumnFormula>[PERDA P/ OPÇÃO]*[QTDE]</calculatedColumnFormula>
    </tableColumn>
    <tableColumn id="21" name="% QUEDA" dataDxfId="82" totalsRowDxfId="81" dataCellStyle="Porcentagem">
      <calculatedColumnFormula>[EX. VENDA]/[PREÇO AÇÃO]-1</calculatedColumnFormula>
    </tableColumn>
    <tableColumn id="22" name="RISCO : 1" dataDxfId="80" totalsRowDxfId="7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78" dataDxfId="77">
  <autoFilter ref="A1:O5"/>
  <tableColumns count="15">
    <tableColumn id="1" name="PAPEL" totalsRowLabel="Total" dataDxfId="76" totalsRowDxfId="75"/>
    <tableColumn id="10" name="RISCO" dataDxfId="74" totalsRowDxfId="73" dataCellStyle="Moeda"/>
    <tableColumn id="20" name="PREÇO AÇÃO" dataDxfId="72" totalsRowDxfId="71" dataCellStyle="Moeda"/>
    <tableColumn id="7" name="EX. VENDA" dataDxfId="70" totalsRowDxfId="69" dataCellStyle="Moeda"/>
    <tableColumn id="2" name="EX. COMPRA" dataDxfId="68" totalsRowDxfId="67" dataCellStyle="Moeda"/>
    <tableColumn id="9" name="PR VENDA" totalsRowDxfId="66"/>
    <tableColumn id="3" name="PR COMPRA" dataDxfId="65" totalsRowDxfId="64" dataCellStyle="Moeda"/>
    <tableColumn id="16" name="QTDE" dataDxfId="63" totalsRowDxfId="62" dataCellStyle="Moeda"/>
    <tableColumn id="13" name="PERDA P/ OPÇÃO" dataDxfId="61" totalsRowDxfId="60" dataCellStyle="Moeda">
      <calculatedColumnFormula>([PR VENDA] - ([EX. COMPRA] - [EX. VENDA] + 0.01)) + (0.01 - ([PR COMPRA]))</calculatedColumnFormula>
    </tableColumn>
    <tableColumn id="14" name="VOLUME" dataDxfId="59" totalsRowDxfId="58" dataCellStyle="Moeda">
      <calculatedColumnFormula>[PR COMPRA] * [QTDE]</calculatedColumnFormula>
    </tableColumn>
    <tableColumn id="15" name="LUCRO UNI" dataDxfId="57" totalsRowDxfId="56">
      <calculatedColumnFormula>[PR VENDA]-[PR COMPRA]</calculatedColumnFormula>
    </tableColumn>
    <tableColumn id="5" name="LUCRO*" dataDxfId="55" totalsRowDxfId="54" dataCellStyle="Moeda">
      <calculatedColumnFormula>([QTDE]*[LUCRO UNI])</calculatedColumnFormula>
    </tableColumn>
    <tableColumn id="6" name="PERDA*" dataDxfId="53" totalsRowDxfId="52" dataCellStyle="Moeda">
      <calculatedColumnFormula>[PERDA P/ OPÇÃO]*[QTDE]</calculatedColumnFormula>
    </tableColumn>
    <tableColumn id="21" name="% QUEDA" dataDxfId="51" totalsRowDxfId="50" dataCellStyle="Porcentagem">
      <calculatedColumnFormula>[EX. VENDA]/[PREÇO AÇÃO]-1</calculatedColumnFormula>
    </tableColumn>
    <tableColumn id="22" name="RISCO : 1" dataDxfId="49" totalsRowDxfId="4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65"/>
  <sheetViews>
    <sheetView workbookViewId="0">
      <pane xSplit="10" ySplit="1" topLeftCell="K35" activePane="bottomRight" state="frozen"/>
      <selection pane="topRight" activeCell="K1" sqref="K1"/>
      <selection pane="bottomLeft" activeCell="A2" sqref="A2"/>
      <selection pane="bottomRight" activeCell="Y63" sqref="Y6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8.5703125" style="7" bestFit="1" customWidth="1"/>
    <col min="8" max="8" width="8.85546875" style="61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9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87" t="s">
        <v>133</v>
      </c>
      <c r="I1" s="36" t="s">
        <v>132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131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104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121</v>
      </c>
      <c r="AJ1" s="10" t="s">
        <v>130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8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8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8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8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8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8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8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8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8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8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8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8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8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8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8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8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8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8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8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8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8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8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8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8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8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8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6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8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6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8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8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8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8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6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8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6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8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6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8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6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8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6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8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6" t="s">
        <v>105</v>
      </c>
      <c r="D38" s="13" t="s">
        <v>24</v>
      </c>
      <c r="E38" s="14">
        <v>41045</v>
      </c>
      <c r="F38" s="13">
        <v>200</v>
      </c>
      <c r="G38" s="15">
        <v>0.69</v>
      </c>
      <c r="H38" s="88"/>
      <c r="I38" s="19"/>
      <c r="J38" s="13" t="s">
        <v>6</v>
      </c>
      <c r="K38" s="14">
        <f>WORKDAY(NC[[#This Row],[DATA]],1,0)</f>
        <v>41046</v>
      </c>
      <c r="L38" s="57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6" t="s">
        <v>106</v>
      </c>
      <c r="D39" s="13" t="s">
        <v>66</v>
      </c>
      <c r="E39" s="14">
        <v>41045</v>
      </c>
      <c r="F39" s="13">
        <v>200</v>
      </c>
      <c r="G39" s="15">
        <v>1.37</v>
      </c>
      <c r="H39" s="88"/>
      <c r="I39" s="19"/>
      <c r="J39" s="13" t="s">
        <v>6</v>
      </c>
      <c r="K39" s="14">
        <f>WORKDAY(NC[[#This Row],[DATA]],1,0)</f>
        <v>41046</v>
      </c>
      <c r="L39" s="57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6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8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6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8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6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8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8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6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8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6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8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6" t="s">
        <v>114</v>
      </c>
      <c r="D46" s="43" t="s">
        <v>66</v>
      </c>
      <c r="E46" s="44">
        <v>41051</v>
      </c>
      <c r="F46" s="43">
        <v>1000</v>
      </c>
      <c r="G46" s="42">
        <v>0.94</v>
      </c>
      <c r="H46" s="8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6" t="s">
        <v>115</v>
      </c>
      <c r="D47" s="13" t="s">
        <v>24</v>
      </c>
      <c r="E47" s="14">
        <v>41051</v>
      </c>
      <c r="F47" s="13">
        <v>1000</v>
      </c>
      <c r="G47" s="15">
        <v>0.45</v>
      </c>
      <c r="H47" s="88"/>
      <c r="I47" s="19"/>
      <c r="J47" s="13" t="s">
        <v>6</v>
      </c>
      <c r="K47" s="14">
        <f>WORKDAY(NC[[#This Row],[DATA]],1,0)</f>
        <v>41052</v>
      </c>
      <c r="L47" s="57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117</v>
      </c>
      <c r="D48" s="43" t="s">
        <v>24</v>
      </c>
      <c r="E48" s="44">
        <v>41068</v>
      </c>
      <c r="F48" s="43">
        <v>1600</v>
      </c>
      <c r="G48" s="42">
        <v>0.78</v>
      </c>
      <c r="H48" s="86"/>
      <c r="I48" s="49"/>
      <c r="J48" s="43" t="s">
        <v>6</v>
      </c>
      <c r="K48" s="44">
        <f>WORKDAY(NC[[#This Row],[DATA]],1,0)</f>
        <v>41071</v>
      </c>
      <c r="L48" s="65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6" t="s">
        <v>106</v>
      </c>
      <c r="D49" s="13" t="s">
        <v>67</v>
      </c>
      <c r="E49" s="14">
        <v>41073</v>
      </c>
      <c r="F49" s="13">
        <v>200</v>
      </c>
      <c r="G49" s="15">
        <v>0.01</v>
      </c>
      <c r="H49" s="88"/>
      <c r="I49" s="19"/>
      <c r="J49" s="13" t="s">
        <v>6</v>
      </c>
      <c r="K49" s="14">
        <f>WORKDAY(NC[[#This Row],[DATA]],1,0)</f>
        <v>41074</v>
      </c>
      <c r="L49" s="57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6" t="s">
        <v>114</v>
      </c>
      <c r="D50" s="13" t="s">
        <v>67</v>
      </c>
      <c r="E50" s="14">
        <v>41074</v>
      </c>
      <c r="F50" s="13">
        <v>1000</v>
      </c>
      <c r="G50" s="15">
        <v>0.01</v>
      </c>
      <c r="H50" s="88"/>
      <c r="I50" s="19"/>
      <c r="J50" s="13" t="s">
        <v>6</v>
      </c>
      <c r="K50" s="14">
        <f>WORKDAY(NC[[#This Row],[DATA]],1,0)</f>
        <v>41075</v>
      </c>
      <c r="L50" s="57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117</v>
      </c>
      <c r="D51" s="43" t="s">
        <v>25</v>
      </c>
      <c r="E51" s="44">
        <v>41075</v>
      </c>
      <c r="F51" s="43">
        <v>1600</v>
      </c>
      <c r="G51" s="42">
        <v>1.29</v>
      </c>
      <c r="H51" s="88"/>
      <c r="I51" s="19"/>
      <c r="J51" s="43" t="s">
        <v>6</v>
      </c>
      <c r="K51" s="44">
        <f>WORKDAY(NC[[#This Row],[DATA]],1,0)</f>
        <v>41078</v>
      </c>
      <c r="L51" s="65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6" t="s">
        <v>118</v>
      </c>
      <c r="D52" s="13" t="s">
        <v>66</v>
      </c>
      <c r="E52" s="44">
        <v>41075</v>
      </c>
      <c r="F52" s="43">
        <v>1100</v>
      </c>
      <c r="G52" s="42">
        <v>1.41</v>
      </c>
      <c r="H52" s="86"/>
      <c r="I52" s="49"/>
      <c r="J52" s="43" t="s">
        <v>6</v>
      </c>
      <c r="K52" s="76">
        <f>WORKDAY(NC[[#This Row],[DATA]],1,0)</f>
        <v>41078</v>
      </c>
      <c r="L52" s="78">
        <f>EOMONTH(NC[[#This Row],[DATA DE LIQUIDAÇÃO]],0)</f>
        <v>41090</v>
      </c>
      <c r="M52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77">
        <f>[QTDE]*[PREÇO]</f>
        <v>1551</v>
      </c>
      <c r="O52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77">
        <f>SETUP!$E$3 * IF([PARCIAL] &gt; 0, [QTDE] / [PARCIAL], 1)</f>
        <v>14.9</v>
      </c>
      <c r="T52" s="77">
        <f>SUMPRODUCT(N([DATA]=NC[[#This Row],[DATA]]),N([ID]&lt;=NC[[#This Row],[ID]]), [CORR])</f>
        <v>29.8</v>
      </c>
      <c r="U52" s="77">
        <f>TRUNC([CORRETAGEM]*SETUP!$F$3,2)</f>
        <v>0.59</v>
      </c>
      <c r="V52" s="77">
        <f>ROUND([CORRETAGEM]*SETUP!$G$3,2)</f>
        <v>1.1599999999999999</v>
      </c>
      <c r="W52" s="77">
        <f>[VALOR LÍQUIDO DAS OPERAÇÕES]-[TAXA DE LIQUIDAÇÃO]-[EMOLUMENTOS]-[TAXA DE REGISTRO]-[CORRETAGEM]-[ISS]-IF(['[D/N']]="D",    0,    [OUTRAS BOVESPA]) - [AJUSTE]</f>
        <v>3578.62</v>
      </c>
      <c r="X52" s="77">
        <f>IF(AND(['[D/N']]="D",    [T]="CV"),    TRUNC([LÍQUIDO BASE]*0.01, 2),    0)</f>
        <v>0</v>
      </c>
      <c r="Y52" s="15">
        <f>IF([PREÇO] &gt; 0,    [LÍQUIDO BASE]-SUMPRODUCT(N([DATA]=NC[[#This Row],[DATA]]),    [IRRF FONTE]),    0)</f>
        <v>3578.62</v>
      </c>
      <c r="Z52" s="79">
        <f>[LÍQUIDO]-SUMPRODUCT(N([DATA]=NC[[#This Row],[DATA]]),N([ID]=(NC[[#This Row],[ID]]-1)),[LÍQUIDO])</f>
        <v>1533.1399999999999</v>
      </c>
      <c r="AA52" s="77">
        <f>IF([T] = "VC", ABS([VALOR OP]) / [QTDE], [VALOR OP]/[QTDE])</f>
        <v>1.3937636363636363</v>
      </c>
      <c r="AB52" s="77">
        <f>TRUNC(IF(OR([T]="CV",[T]="VV"),     N52*SETUP!$H$3,     0),2)</f>
        <v>7.0000000000000007E-2</v>
      </c>
      <c r="AC52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77">
        <f>IF([LUCRO TMP] &lt;&gt; 0, [LUCRO TMP] - SUMPRODUCT(N([ATIVO]=NC[[#This Row],[ATIVO]]),N(['[D/N']]="N"),N([ID]&lt;NC[[#This Row],[ID]]),N([PAR]=NC[[#This Row],[PAR]]), [LUCRO TMP]), 0)</f>
        <v>0</v>
      </c>
      <c r="AH52" s="77">
        <f>IF([U] = "U", SUMPRODUCT(N([ID]&lt;=NC[[#This Row],[ID]]),N([DATA BASE]=NC[[#This Row],[DATA BASE]]), N(['[D/N']] = "N"),    [LUCRO P/ OP]), 0)</f>
        <v>0</v>
      </c>
      <c r="AI52" s="7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6" t="s">
        <v>119</v>
      </c>
      <c r="D53" s="13" t="s">
        <v>24</v>
      </c>
      <c r="E53" s="44">
        <v>41075</v>
      </c>
      <c r="F53" s="43">
        <v>1100</v>
      </c>
      <c r="G53" s="42">
        <v>0.88</v>
      </c>
      <c r="H53" s="86"/>
      <c r="I53" s="49"/>
      <c r="J53" s="43" t="s">
        <v>6</v>
      </c>
      <c r="K53" s="76">
        <f>WORKDAY(NC[[#This Row],[DATA]],1,0)</f>
        <v>41078</v>
      </c>
      <c r="L53" s="78">
        <f>EOMONTH(NC[[#This Row],[DATA DE LIQUIDAÇÃO]],0)</f>
        <v>41090</v>
      </c>
      <c r="M53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77">
        <f>[QTDE]*[PREÇO]</f>
        <v>968</v>
      </c>
      <c r="O53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77">
        <f>SETUP!$E$3 * IF([PARCIAL] &gt; 0, [QTDE] / [PARCIAL], 1)</f>
        <v>14.9</v>
      </c>
      <c r="T53" s="77">
        <f>SUMPRODUCT(N([DATA]=NC[[#This Row],[DATA]]),N([ID]&lt;=NC[[#This Row],[ID]]), [CORR])</f>
        <v>44.7</v>
      </c>
      <c r="U53" s="77">
        <f>TRUNC([CORRETAGEM]*SETUP!$F$3,2)</f>
        <v>0.89</v>
      </c>
      <c r="V53" s="77">
        <f>ROUND([CORRETAGEM]*SETUP!$G$3,2)</f>
        <v>1.74</v>
      </c>
      <c r="W53" s="77">
        <f>[VALOR LÍQUIDO DAS OPERAÇÕES]-[TAXA DE LIQUIDAÇÃO]-[EMOLUMENTOS]-[TAXA DE REGISTRO]-[CORRETAGEM]-[ISS]-IF(['[D/N']]="D",    0,    [OUTRAS BOVESPA]) - [AJUSTE]</f>
        <v>2593.5400000000004</v>
      </c>
      <c r="X53" s="77">
        <f>IF(AND(['[D/N']]="D",    [T]="CV"),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79">
        <f>[LÍQUIDO]-SUMPRODUCT(N([DATA]=NC[[#This Row],[DATA]]),N([ID]=(NC[[#This Row],[ID]]-1)),[LÍQUIDO])</f>
        <v>-985.07999999999947</v>
      </c>
      <c r="AA53" s="77">
        <f>IF([T] = "VC", ABS([VALOR OP]) / [QTDE], [VALOR OP]/[QTDE])</f>
        <v>-0.89552727272727228</v>
      </c>
      <c r="AB53" s="77">
        <f>TRUNC(IF(OR([T]="CV",[T]="VV"),     N53*SETUP!$H$3,     0),2)</f>
        <v>0</v>
      </c>
      <c r="AC53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77">
        <f>IF([LUCRO TMP] &lt;&gt; 0, [LUCRO TMP] - SUMPRODUCT(N([ATIVO]=NC[[#This Row],[ATIVO]]),N(['[D/N']]="N"),N([ID]&lt;NC[[#This Row],[ID]]),N([PAR]=NC[[#This Row],[PAR]]), [LUCRO TMP]), 0)</f>
        <v>0</v>
      </c>
      <c r="AH53" s="77">
        <f>IF([U] = "U", SUMPRODUCT(N([ID]&lt;=NC[[#This Row],[ID]]),N([DATA BASE]=NC[[#This Row],[DATA BASE]]), N(['[D/N']] = "N"),    [LUCRO P/ OP]), 0)</f>
        <v>0</v>
      </c>
      <c r="AI53" s="7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6" t="s">
        <v>118</v>
      </c>
      <c r="D54" s="13" t="s">
        <v>24</v>
      </c>
      <c r="E54" s="44">
        <v>41078</v>
      </c>
      <c r="F54" s="43">
        <v>500</v>
      </c>
      <c r="G54" s="42">
        <v>1.89</v>
      </c>
      <c r="H54" s="86">
        <v>1600</v>
      </c>
      <c r="I54" s="49"/>
      <c r="J54" s="13" t="s">
        <v>14</v>
      </c>
      <c r="K54" s="76">
        <f>WORKDAY(NC[[#This Row],[DATA]],1,0)</f>
        <v>41079</v>
      </c>
      <c r="L54" s="78">
        <f>EOMONTH(NC[[#This Row],[DATA DE LIQUIDAÇÃO]],0)</f>
        <v>41090</v>
      </c>
      <c r="M54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77">
        <f>[QTDE]*[PREÇO]</f>
        <v>945</v>
      </c>
      <c r="O54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77">
        <f>SETUP!$E$3 * IF([PARCIAL] &gt; 0, [QTDE] / [PARCIAL], 1)</f>
        <v>4.65625</v>
      </c>
      <c r="T54" s="77">
        <f>SUMPRODUCT(N([DATA]=NC[[#This Row],[DATA]]),N([ID]&lt;=NC[[#This Row],[ID]]), [CORR])</f>
        <v>4.65625</v>
      </c>
      <c r="U54" s="77">
        <f>TRUNC([CORRETAGEM]*SETUP!$F$3,2)</f>
        <v>0.09</v>
      </c>
      <c r="V54" s="77">
        <f>ROUND([CORRETAGEM]*SETUP!$G$3,2)</f>
        <v>0.18</v>
      </c>
      <c r="W54" s="77">
        <f>[VALOR LÍQUIDO DAS OPERAÇÕES]-[TAXA DE LIQUIDAÇÃO]-[EMOLUMENTOS]-[TAXA DE REGISTRO]-[CORRETAGEM]-[ISS]-IF(['[D/N']]="D",    0,    [OUTRAS BOVESPA]) - [AJUSTE]</f>
        <v>-950.16624999999999</v>
      </c>
      <c r="X54" s="77">
        <f>IF(AND(['[D/N']]="D",    [T]="CV"),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79">
        <f>[LÍQUIDO]-SUMPRODUCT(N([DATA]=NC[[#This Row],[DATA]]),N([ID]=(NC[[#This Row],[ID]]-1)),[LÍQUIDO])</f>
        <v>-950.74625000000003</v>
      </c>
      <c r="AA54" s="77">
        <f>IF([T] = "VC", ABS([VALOR OP]) / [QTDE], [VALOR OP]/[QTDE])</f>
        <v>-1.9014925</v>
      </c>
      <c r="AB54" s="77">
        <f>TRUNC(IF(OR([T]="CV",[T]="VV"),     N54*SETUP!$H$3,     0),2)</f>
        <v>0</v>
      </c>
      <c r="AC54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77">
        <f>IF([LUCRO TMP] &lt;&gt; 0, [LUCRO TMP] - SUMPRODUCT(N([ATIVO]=NC[[#This Row],[ATIVO]]),N(['[D/N']]="N"),N([ID]&lt;NC[[#This Row],[ID]]),N([PAR]=NC[[#This Row],[PAR]]), [LUCRO TMP]), 0)</f>
        <v>0</v>
      </c>
      <c r="AH54" s="77">
        <f>IF([U] = "U", SUMPRODUCT(N([ID]&lt;=NC[[#This Row],[ID]]),N([DATA BASE]=NC[[#This Row],[DATA BASE]]), N(['[D/N']] = "N"),    [LUCRO P/ OP]), 0)</f>
        <v>0</v>
      </c>
      <c r="AI54" s="7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6" t="s">
        <v>118</v>
      </c>
      <c r="D55" s="13" t="s">
        <v>25</v>
      </c>
      <c r="E55" s="44">
        <v>41078</v>
      </c>
      <c r="F55" s="13">
        <v>500</v>
      </c>
      <c r="G55" s="15">
        <v>2.0499999999999998</v>
      </c>
      <c r="H55" s="88"/>
      <c r="I55" s="19">
        <v>0.56000000000000005</v>
      </c>
      <c r="J55" s="13" t="s">
        <v>14</v>
      </c>
      <c r="K55" s="14">
        <f>WORKDAY(NC[[#This Row],[DATA]],1,0)</f>
        <v>41079</v>
      </c>
      <c r="L55" s="8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6" t="s">
        <v>118</v>
      </c>
      <c r="D56" s="13" t="s">
        <v>67</v>
      </c>
      <c r="E56" s="44">
        <v>41078</v>
      </c>
      <c r="F56" s="43">
        <v>1100</v>
      </c>
      <c r="G56" s="42">
        <v>1.89</v>
      </c>
      <c r="H56" s="88">
        <v>1600</v>
      </c>
      <c r="I56" s="19"/>
      <c r="J56" s="43" t="s">
        <v>6</v>
      </c>
      <c r="K56" s="76">
        <f>WORKDAY(NC[[#This Row],[DATA]],1,0)</f>
        <v>41079</v>
      </c>
      <c r="L56" s="78">
        <f>EOMONTH(NC[[#This Row],[DATA DE LIQUIDAÇÃO]],0)</f>
        <v>41090</v>
      </c>
      <c r="M56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77">
        <f>[QTDE]*[PREÇO]</f>
        <v>2079</v>
      </c>
      <c r="O56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77">
        <f>SETUP!$E$3 * IF([PARCIAL] &gt; 0, [QTDE] / [PARCIAL], 1)</f>
        <v>10.24375</v>
      </c>
      <c r="T56" s="77">
        <f>SUMPRODUCT(N([DATA]=NC[[#This Row],[DATA]]),N([ID]&lt;=NC[[#This Row],[ID]]), [CORR])</f>
        <v>29.799999999999997</v>
      </c>
      <c r="U56" s="77">
        <f>TRUNC([CORRETAGEM]*SETUP!$F$3,2)</f>
        <v>0.59</v>
      </c>
      <c r="V56" s="77">
        <f>ROUND([CORRETAGEM]*SETUP!$G$3,2)</f>
        <v>1.1599999999999999</v>
      </c>
      <c r="W56" s="77">
        <f>[VALOR LÍQUIDO DAS OPERAÇÕES]-[TAXA DE LIQUIDAÇÃO]-[EMOLUMENTOS]-[TAXA DE REGISTRO]-[CORRETAGEM]-[ISS]-IF(['[D/N']]="D",    0,    [OUTRAS BOVESPA]) - [AJUSTE]</f>
        <v>-2034.21</v>
      </c>
      <c r="X56" s="77">
        <f>IF(AND(['[D/N']]="D",    [T]="CV"),    TRUNC([LÍQUIDO BASE]*0.01, 2),    0)</f>
        <v>0</v>
      </c>
      <c r="Y56" s="15">
        <f>IF([PREÇO] &gt; 0,    [LÍQUIDO BASE]-SUMPRODUCT(N([DATA]=NC[[#This Row],[DATA]]),    [IRRF FONTE]),    0)</f>
        <v>-2034.79</v>
      </c>
      <c r="Z56" s="79">
        <f>[LÍQUIDO]-SUMPRODUCT(N([DATA]=NC[[#This Row],[DATA]]),N([ID]=(NC[[#This Row],[ID]]-1)),[LÍQUIDO])</f>
        <v>-2092.8337499999998</v>
      </c>
      <c r="AA56" s="77">
        <f>IF([T] = "VC", ABS([VALOR OP]) / [QTDE], [VALOR OP]/[QTDE])</f>
        <v>1.9025761363636362</v>
      </c>
      <c r="AB56" s="77">
        <f>TRUNC(IF(OR([T]="CV",[T]="VV"),     N56*SETUP!$H$3,     0),2)</f>
        <v>0</v>
      </c>
      <c r="AC56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77">
        <f>IF([LUCRO TMP] &lt;&gt; 0, [LUCRO TMP] - SUMPRODUCT(N([ATIVO]=NC[[#This Row],[ATIVO]]),N(['[D/N']]="N"),N([ID]&lt;NC[[#This Row],[ID]]),N([PAR]=NC[[#This Row],[PAR]]), [LUCRO TMP]), 0)</f>
        <v>-559.69374999999991</v>
      </c>
      <c r="AH56" s="77">
        <f>IF([U] = "U", SUMPRODUCT(N([ID]&lt;=NC[[#This Row],[ID]]),N([DATA BASE]=NC[[#This Row],[DATA BASE]]), N(['[D/N']] = "N"),    [LUCRO P/ OP]), 0)</f>
        <v>0</v>
      </c>
      <c r="AI56" s="7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6" t="s">
        <v>119</v>
      </c>
      <c r="D57" s="13" t="s">
        <v>25</v>
      </c>
      <c r="E57" s="44">
        <v>41078</v>
      </c>
      <c r="F57" s="43">
        <v>1100</v>
      </c>
      <c r="G57" s="42">
        <v>1.45</v>
      </c>
      <c r="H57" s="86"/>
      <c r="I57" s="49"/>
      <c r="J57" s="43" t="s">
        <v>6</v>
      </c>
      <c r="K57" s="14">
        <f>WORKDAY(NC[[#This Row],[DATA]],1,0)</f>
        <v>41079</v>
      </c>
      <c r="L57" s="8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6" t="s">
        <v>115</v>
      </c>
      <c r="D58" s="13" t="s">
        <v>25</v>
      </c>
      <c r="E58" s="14">
        <v>41079</v>
      </c>
      <c r="F58" s="13">
        <v>1000</v>
      </c>
      <c r="G58" s="15">
        <v>0</v>
      </c>
      <c r="H58" s="88"/>
      <c r="I58" s="19"/>
      <c r="J58" s="13" t="s">
        <v>6</v>
      </c>
      <c r="K58" s="14">
        <f>WORKDAY(NC[[#This Row],[DATA]],1,0)</f>
        <v>41080</v>
      </c>
      <c r="L58" s="57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6" t="s">
        <v>105</v>
      </c>
      <c r="D59" s="13" t="s">
        <v>25</v>
      </c>
      <c r="E59" s="14">
        <v>41079</v>
      </c>
      <c r="F59" s="13">
        <v>200</v>
      </c>
      <c r="G59" s="15">
        <v>0</v>
      </c>
      <c r="H59" s="88"/>
      <c r="I59" s="19"/>
      <c r="J59" s="13" t="s">
        <v>6</v>
      </c>
      <c r="K59" s="14">
        <f>WORKDAY(NC[[#This Row],[DATA]],1,0)</f>
        <v>41080</v>
      </c>
      <c r="L59" s="57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6" t="s">
        <v>118</v>
      </c>
      <c r="D60" s="13" t="s">
        <v>66</v>
      </c>
      <c r="E60" s="14">
        <v>41086</v>
      </c>
      <c r="F60" s="13">
        <v>1600</v>
      </c>
      <c r="G60" s="15">
        <v>1.44</v>
      </c>
      <c r="H60" s="88"/>
      <c r="I60" s="19"/>
      <c r="J60" s="13" t="s">
        <v>6</v>
      </c>
      <c r="K60" s="14">
        <f>WORKDAY(NC[[#This Row],[DATA]],1,0)</f>
        <v>41087</v>
      </c>
      <c r="L60" s="8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6" t="s">
        <v>119</v>
      </c>
      <c r="D61" s="13" t="s">
        <v>24</v>
      </c>
      <c r="E61" s="14">
        <v>41086</v>
      </c>
      <c r="F61" s="13">
        <v>1600</v>
      </c>
      <c r="G61" s="15">
        <v>0.88</v>
      </c>
      <c r="H61" s="88"/>
      <c r="I61" s="19"/>
      <c r="J61" s="13" t="s">
        <v>6</v>
      </c>
      <c r="K61" s="14">
        <f>WORKDAY(NC[[#This Row],[DATA]],1,0)</f>
        <v>41087</v>
      </c>
      <c r="L61" s="8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6" t="s">
        <v>118</v>
      </c>
      <c r="D62" s="13" t="s">
        <v>67</v>
      </c>
      <c r="E62" s="14">
        <v>41094</v>
      </c>
      <c r="F62" s="13">
        <v>1600</v>
      </c>
      <c r="G62" s="15">
        <v>2.2599999999999998</v>
      </c>
      <c r="H62" s="88"/>
      <c r="I62" s="19"/>
      <c r="J62" s="13" t="s">
        <v>6</v>
      </c>
      <c r="K62" s="14">
        <f>WORKDAY(NC[[#This Row],[DATA]],1,0)</f>
        <v>41095</v>
      </c>
      <c r="L62" s="8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 t="s">
        <v>49</v>
      </c>
      <c r="C63" s="56" t="s">
        <v>119</v>
      </c>
      <c r="D63" s="13" t="s">
        <v>25</v>
      </c>
      <c r="E63" s="14">
        <v>41095</v>
      </c>
      <c r="F63" s="13">
        <v>1600</v>
      </c>
      <c r="G63" s="15">
        <v>2</v>
      </c>
      <c r="H63" s="88"/>
      <c r="I63" s="19"/>
      <c r="J63" s="13" t="s">
        <v>6</v>
      </c>
      <c r="K63" s="14">
        <f>WORKDAY(NC[[#This Row],[DATA]],1,0)</f>
        <v>41096</v>
      </c>
      <c r="L63" s="8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402.84000000000128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66">
        <f>SUBTOTAL(104,[ID])</f>
        <v>62</v>
      </c>
      <c r="B64" s="66"/>
      <c r="C64" s="66"/>
      <c r="D64" s="66"/>
      <c r="E64" s="66"/>
      <c r="F64" s="66"/>
      <c r="G64" s="66">
        <f>NC[[#Totals],[ID]]*14.9</f>
        <v>923.80000000000007</v>
      </c>
      <c r="H64" s="88"/>
      <c r="I64" s="15"/>
      <c r="J64" s="66">
        <f>NC[[#Totals],[LUCRO P/ OP]]+NC[[#Totals],[PREÇO]]</f>
        <v>2009.9900000000021</v>
      </c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15"/>
      <c r="X64" s="66"/>
      <c r="Y64" s="15"/>
      <c r="Z64" s="15"/>
      <c r="AA64" s="66"/>
      <c r="AB64" s="15">
        <f>SUBTOTAL(109,[IRRF])</f>
        <v>0.77</v>
      </c>
      <c r="AC64" s="15"/>
      <c r="AD64" s="66"/>
      <c r="AE64" s="66"/>
      <c r="AF64" s="15"/>
      <c r="AG64" s="15">
        <f>SUBTOTAL(109,[LUCRO P/ OP])</f>
        <v>1086.1900000000019</v>
      </c>
      <c r="AH64" s="15"/>
      <c r="AI64" s="67"/>
      <c r="AJ64" s="68"/>
    </row>
    <row r="65" spans="31:31">
      <c r="AE65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120</v>
      </c>
      <c r="D1" s="7" t="s">
        <v>124</v>
      </c>
      <c r="E1" s="7" t="s">
        <v>121</v>
      </c>
      <c r="F1" s="7" t="s">
        <v>122</v>
      </c>
      <c r="G1" s="7" t="s">
        <v>125</v>
      </c>
      <c r="H1" s="7" t="s">
        <v>123</v>
      </c>
      <c r="I1" s="7" t="s">
        <v>128</v>
      </c>
      <c r="J1" s="7" t="s">
        <v>126</v>
      </c>
      <c r="K1" s="7" t="s">
        <v>127</v>
      </c>
      <c r="L1" s="7" t="s">
        <v>18</v>
      </c>
      <c r="M1" s="7" t="s">
        <v>48</v>
      </c>
      <c r="N1" s="7" t="s">
        <v>129</v>
      </c>
    </row>
    <row r="2" spans="1:15">
      <c r="A2" s="8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82">
        <v>41000</v>
      </c>
      <c r="B3" s="83">
        <v>-958.08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f>IF([LUCRO '[N']] + [DEDUÇÃO '[N']] &gt; 0, 0, [LUCRO '[N']] + [DEDUÇÃO '[N']])</f>
        <v>-958.08</v>
      </c>
      <c r="I3" s="83">
        <f>IF([LUCRO '[D']] + [DEDUÇÃO '[D']] &gt; 0, 0, [LUCRO '[D']] + [DEDUÇÃO '[D']])</f>
        <v>0</v>
      </c>
      <c r="J3" s="83">
        <f>IF([ACC '[N']] = 0, ROUND(([LUCRO '[N']] + [DEDUÇÃO '[N']]) * 15%, 2) - [IRRF '[N']], 0)</f>
        <v>0</v>
      </c>
      <c r="K3" s="83">
        <f>IF([ACC '[D']] = 0, ROUND(([LUCRO '[D']] + [DEDUÇÃO '[D']]) * 20%, 2) - [IRRF '[D']], 0)</f>
        <v>0</v>
      </c>
      <c r="L3" s="83">
        <f>[IRRF '[N']] + [IRRF '[D']]</f>
        <v>0</v>
      </c>
      <c r="M3" s="8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82">
        <v>41030</v>
      </c>
      <c r="B4" s="83">
        <v>431.77</v>
      </c>
      <c r="C4" s="83">
        <v>-1614.89</v>
      </c>
      <c r="D4" s="83">
        <v>0</v>
      </c>
      <c r="E4" s="83">
        <v>0</v>
      </c>
      <c r="F4" s="83">
        <v>0</v>
      </c>
      <c r="G4" s="83">
        <v>0</v>
      </c>
      <c r="H4" s="83">
        <f>IF([LUCRO '[N']] + [DEDUÇÃO '[N']] &gt; 0, 0, [LUCRO '[N']] + [DEDUÇÃO '[N']])</f>
        <v>-1183.1200000000001</v>
      </c>
      <c r="I4" s="83">
        <f>IF([LUCRO '[D']] + [DEDUÇÃO '[D']] &gt; 0, 0, [LUCRO '[D']] + [DEDUÇÃO '[D']])</f>
        <v>0</v>
      </c>
      <c r="J4" s="83">
        <f>IF([ACC '[N']] = 0, ROUND(([LUCRO '[N']] + [DEDUÇÃO '[N']]) * 15%, 2) - [IRRF '[N']], 0)</f>
        <v>0</v>
      </c>
      <c r="K4" s="83">
        <f>IF([ACC '[D']] = 0, ROUND(([LUCRO '[D']] + [DEDUÇÃO '[D']]) * 20%, 2) - [IRRF '[D']], 0)</f>
        <v>0</v>
      </c>
      <c r="L4" s="83">
        <f>[IRRF '[N']] + [IRRF '[D']]</f>
        <v>0</v>
      </c>
      <c r="M4" s="8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82">
        <v>41061</v>
      </c>
      <c r="B5" s="83">
        <v>1329.34</v>
      </c>
      <c r="C5" s="83">
        <v>-1183.1199999999999</v>
      </c>
      <c r="D5" s="83">
        <v>0.17</v>
      </c>
      <c r="E5" s="83">
        <v>58.62</v>
      </c>
      <c r="F5" s="83">
        <v>0</v>
      </c>
      <c r="G5" s="83">
        <v>0.57999999999999996</v>
      </c>
      <c r="H5" s="83">
        <f>IF([LUCRO '[N']] + [DEDUÇÃO '[N']] &gt; 0, 0, [LUCRO '[N']] + [DEDUÇÃO '[N']])</f>
        <v>0</v>
      </c>
      <c r="I5" s="83">
        <f>IF([LUCRO '[D']] + [DEDUÇÃO '[D']] &gt; 0, 0, [LUCRO '[D']] + [DEDUÇÃO '[D']])</f>
        <v>0</v>
      </c>
      <c r="J5" s="83">
        <f>IF([ACC '[N']] = 0, ROUND(([LUCRO '[N']] + [DEDUÇÃO '[N']]) * 15%, 2) - [IRRF '[N']], 0)</f>
        <v>21.759999999999998</v>
      </c>
      <c r="K5" s="83">
        <f>IF([ACC '[D']] = 0, ROUND(([LUCRO '[D']] + [DEDUÇÃO '[D']]) * 20%, 2) - [IRRF '[D']], 0)</f>
        <v>11.14</v>
      </c>
      <c r="L5" s="83">
        <f>[IRRF '[N']] + [IRRF '[D']]</f>
        <v>0.75</v>
      </c>
      <c r="M5" s="8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94"/>
      <c r="M6" s="84"/>
      <c r="N6" s="23">
        <f>SUBTOTAL(109,[LUCRO TOTAL])</f>
        <v>553.99999999999977</v>
      </c>
    </row>
    <row r="10" spans="1:15">
      <c r="N10" s="90"/>
      <c r="O10" s="9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137</v>
      </c>
    </row>
    <row r="2" spans="1:11">
      <c r="A2" s="7" t="s">
        <v>135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134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136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84"/>
      <c r="C5" s="84"/>
      <c r="D5" s="84"/>
      <c r="E5" s="84"/>
      <c r="F5" s="84"/>
      <c r="G5" s="84"/>
      <c r="H5" s="84"/>
      <c r="I5" s="84"/>
      <c r="J5" s="8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8" sqref="B8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107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116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 - 60</f>
        <v>62</v>
      </c>
      <c r="N3" s="25">
        <f>[QTDE]*[PERDA P/ OPÇÃO] - 60</f>
        <v>-138</v>
      </c>
      <c r="O3" s="27">
        <f>[EXERC. VENDA]/[PREÇO AÇÃO]-1</f>
        <v>-5.9292476332835187E-2</v>
      </c>
      <c r="P3" s="38">
        <f>[LUCRO*]/ABS([PERDA*])</f>
        <v>0.44927536231884058</v>
      </c>
    </row>
    <row r="4" spans="1:16">
      <c r="A4" s="7" t="s">
        <v>83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39">
        <f>[PREÇO VENDA]-[PREÇO COMPRA]</f>
        <v>0.52</v>
      </c>
      <c r="J4" s="39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39">
        <f>([QTDE]*[LUCRO P/ OPÇÃO]) - 60</f>
        <v>408</v>
      </c>
      <c r="N4" s="25">
        <f>[QTDE]*[PERDA P/ OPÇÃO] - 60</f>
        <v>-492</v>
      </c>
      <c r="O4" s="27">
        <f>[EXERC. VENDA]/[PREÇO AÇÃO]-1</f>
        <v>-2.3947368421052495E-2</v>
      </c>
      <c r="P4" s="38">
        <f>[LUCRO*]/ABS([PERDA*])</f>
        <v>0.82926829268292679</v>
      </c>
    </row>
    <row r="5" spans="1:16">
      <c r="A5" s="50" t="s">
        <v>103</v>
      </c>
      <c r="B5" s="51">
        <v>90</v>
      </c>
      <c r="C5" s="51">
        <v>11.83</v>
      </c>
      <c r="D5" s="51">
        <v>11</v>
      </c>
      <c r="E5" s="51">
        <v>1.37</v>
      </c>
      <c r="F5" s="51">
        <v>12</v>
      </c>
      <c r="G5" s="51">
        <v>0.69</v>
      </c>
      <c r="H5" s="51">
        <f>([QTDE] * [PREÇO COMPRA]) + ([QTDE] * [PREÇO VENDA])</f>
        <v>412</v>
      </c>
      <c r="I5" s="52">
        <f>[PREÇO VENDA]-[PREÇO COMPRA]</f>
        <v>0.68000000000000016</v>
      </c>
      <c r="J5" s="52">
        <f>(0.01 - [PREÇO COMPRA]) + ([PREÇO VENDA] - ([EXERC. COMPRA]-[EXERC. VENDA]+0.01))</f>
        <v>-0.31999999999999984</v>
      </c>
      <c r="K5" s="53">
        <f>ROUNDDOWN([RISCO]/ABS([PERDA P/ OPÇÃO]), 0)</f>
        <v>281</v>
      </c>
      <c r="L5" s="53">
        <f>[QTDE TMP] - MOD([QTDE TMP], 100)</f>
        <v>200</v>
      </c>
      <c r="M5" s="52">
        <f>([QTDE]*[LUCRO P/ OPÇÃO]) - 60</f>
        <v>76.000000000000028</v>
      </c>
      <c r="N5" s="51">
        <f>[QTDE]*[PERDA P/ OPÇÃO] - 60</f>
        <v>-123.99999999999997</v>
      </c>
      <c r="O5" s="54">
        <f>[EXERC. VENDA]/[PREÇO AÇÃO]-1</f>
        <v>-7.0160608622147125E-2</v>
      </c>
      <c r="P5" s="55">
        <f>[LUCRO*]/ABS([PERDA*])</f>
        <v>0.61290322580645196</v>
      </c>
    </row>
    <row r="6" spans="1:16">
      <c r="A6" s="7" t="s">
        <v>69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2">
        <f>[PREÇO VENDA]-[PREÇO COMPRA]</f>
        <v>1.24</v>
      </c>
      <c r="J6" s="52">
        <f>(0.01 - [PREÇO COMPRA]) + ([PREÇO VENDA] - ([EXERC. COMPRA]-[EXERC. VENDA]+0.01))</f>
        <v>-0.64000000000000257</v>
      </c>
      <c r="K6" s="53">
        <f>ROUNDDOWN([RISCO]/ABS([PERDA P/ OPÇÃO]), 0)</f>
        <v>468</v>
      </c>
      <c r="L6" s="53">
        <f>[QTDE TMP] - MOD([QTDE TMP], 100)</f>
        <v>400</v>
      </c>
      <c r="M6" s="52">
        <f>([QTDE]*[LUCRO P/ OPÇÃO]) - 60</f>
        <v>436</v>
      </c>
      <c r="N6" s="52">
        <f>[QTDE]*[PERDA P/ OPÇÃO] - 60</f>
        <v>-316.00000000000102</v>
      </c>
      <c r="O6" s="54">
        <f>[EXERC. VENDA]/[PREÇO AÇÃO]-1</f>
        <v>-7.0123456790123551E-2</v>
      </c>
      <c r="P6" s="55">
        <f>[LUCRO*]/ABS([PERDA*])</f>
        <v>1.3797468354430336</v>
      </c>
    </row>
    <row r="7" spans="1:16">
      <c r="A7" s="7" t="s">
        <v>69</v>
      </c>
      <c r="B7" s="25">
        <v>160</v>
      </c>
      <c r="C7" s="25">
        <v>17.8</v>
      </c>
      <c r="D7" s="25">
        <v>16</v>
      </c>
      <c r="E7" s="25">
        <v>2.35</v>
      </c>
      <c r="F7" s="25">
        <v>17</v>
      </c>
      <c r="G7" s="25">
        <v>1.51</v>
      </c>
      <c r="H7" s="25">
        <f>([QTDE] * [PREÇO COMPRA]) + ([QTDE] * [PREÇO VENDA])</f>
        <v>3860</v>
      </c>
      <c r="I7" s="52">
        <f>[PREÇO VENDA]-[PREÇO COMPRA]</f>
        <v>0.84000000000000008</v>
      </c>
      <c r="J7" s="52">
        <f>(0.01 - [PREÇO COMPRA]) + ([PREÇO VENDA] - ([EXERC. COMPRA]-[EXERC. VENDA]+0.01))</f>
        <v>-0.15999999999999992</v>
      </c>
      <c r="K7" s="53">
        <f>ROUNDDOWN([RISCO]/ABS([PERDA P/ OPÇÃO]), 0)</f>
        <v>1000</v>
      </c>
      <c r="L7" s="53">
        <f>[QTDE TMP] - MOD([QTDE TMP], 100)</f>
        <v>1000</v>
      </c>
      <c r="M7" s="52">
        <f>([QTDE]*[LUCRO P/ OPÇÃO]) - 60</f>
        <v>780.00000000000011</v>
      </c>
      <c r="N7" s="52">
        <f>[QTDE]*[PERDA P/ OPÇÃO] - 60</f>
        <v>-219.99999999999991</v>
      </c>
      <c r="O7" s="54">
        <f>[EXERC. VENDA]/[PREÇO AÇÃO]-1</f>
        <v>-0.101123595505618</v>
      </c>
      <c r="P7" s="55">
        <f>[LUCRO*]/ABS([PERDA*])</f>
        <v>3.5454545454545472</v>
      </c>
    </row>
    <row r="8" spans="1:16">
      <c r="A8" s="7" t="s">
        <v>69</v>
      </c>
      <c r="B8" s="25">
        <v>450</v>
      </c>
      <c r="C8" s="25">
        <v>17.8</v>
      </c>
      <c r="D8" s="25">
        <v>17</v>
      </c>
      <c r="E8" s="25">
        <v>1.44</v>
      </c>
      <c r="F8" s="25">
        <v>17.829999999999998</v>
      </c>
      <c r="G8" s="25">
        <v>0.88</v>
      </c>
      <c r="H8" s="52">
        <f>([QTDE] * [PREÇO COMPRA]) + ([QTDE] * [PREÇO VENDA])</f>
        <v>3712</v>
      </c>
      <c r="I8" s="52">
        <f>[PREÇO VENDA]-[PREÇO COMPRA]</f>
        <v>0.55999999999999994</v>
      </c>
      <c r="J8" s="52">
        <f>(0.01 - [PREÇO COMPRA]) + ([PREÇO VENDA] - ([EXERC. COMPRA]-[EXERC. VENDA]+0.01))</f>
        <v>-0.26999999999999835</v>
      </c>
      <c r="K8" s="53">
        <f>ROUNDDOWN([RISCO]/ABS([PERDA P/ OPÇÃO]), 0)</f>
        <v>1666</v>
      </c>
      <c r="L8" s="53">
        <f>[QTDE TMP] - MOD([QTDE TMP], 100)</f>
        <v>1600</v>
      </c>
      <c r="M8" s="52">
        <f>([QTDE]*[LUCRO P/ OPÇÃO]) - 60</f>
        <v>835.99999999999989</v>
      </c>
      <c r="N8" s="52">
        <f>[QTDE]*[PERDA P/ OPÇÃO] - 60</f>
        <v>-491.99999999999739</v>
      </c>
      <c r="O8" s="54">
        <f>[EXERC. VENDA]/[PREÇO AÇÃO]-1</f>
        <v>-4.49438202247191E-2</v>
      </c>
      <c r="P8" s="55">
        <f>[LUCRO*]/ABS([PERDA*])</f>
        <v>1.6991869918699274</v>
      </c>
    </row>
    <row r="9" spans="1:16">
      <c r="A9" s="7" t="s">
        <v>103</v>
      </c>
      <c r="B9" s="25">
        <v>570</v>
      </c>
      <c r="C9" s="25">
        <v>8.6</v>
      </c>
      <c r="D9" s="25">
        <v>8</v>
      </c>
      <c r="E9" s="25">
        <v>0.98</v>
      </c>
      <c r="F9" s="25">
        <v>9</v>
      </c>
      <c r="G9" s="25">
        <v>0.38</v>
      </c>
      <c r="H9" s="71">
        <f>([QTDE] * [PREÇO COMPRA]) + ([QTDE] * [PREÇO VENDA])</f>
        <v>1904</v>
      </c>
      <c r="I9" s="71">
        <f>[PREÇO VENDA]-[PREÇO COMPRA]</f>
        <v>0.6</v>
      </c>
      <c r="J9" s="71">
        <f>(0.01 - [PREÇO COMPRA]) + ([PREÇO VENDA] - ([EXERC. COMPRA]-[EXERC. VENDA]+0.01))</f>
        <v>-0.4</v>
      </c>
      <c r="K9" s="72">
        <f>ROUNDDOWN([RISCO]/ABS([PERDA P/ OPÇÃO]), 0)</f>
        <v>1425</v>
      </c>
      <c r="L9" s="72">
        <f>[QTDE TMP] - MOD([QTDE TMP], 100)</f>
        <v>1400</v>
      </c>
      <c r="M9" s="71">
        <f>([QTDE]*[LUCRO P/ OPÇÃO]) - 60</f>
        <v>780</v>
      </c>
      <c r="N9" s="71">
        <f>[QTDE]*[PERDA P/ OPÇÃO] - 60</f>
        <v>-620</v>
      </c>
      <c r="O9" s="73">
        <f>[EXERC. VENDA]/[PREÇO AÇÃO]-1</f>
        <v>-6.9767441860465129E-2</v>
      </c>
      <c r="P9" s="74">
        <f>[LUCRO*]/ABS([PERDA*])</f>
        <v>1.2580645161290323</v>
      </c>
    </row>
    <row r="10" spans="1:16">
      <c r="A10" s="69" t="s">
        <v>15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69"/>
      <c r="P10" s="6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4" sqref="C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([QTDE]*[PR CP 1] + [QTDE]*[PR CP 2])</f>
        <v>1519</v>
      </c>
      <c r="R2" s="25">
        <f>[QTDE]*[PR VD] * 2</f>
        <v>1428</v>
      </c>
      <c r="S2" s="39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8">
        <f>[LUCRO*]/ABS([PERDA*])</f>
        <v>2.8674033149171287</v>
      </c>
    </row>
    <row r="3" spans="1:22">
      <c r="A3" s="7" t="s">
        <v>83</v>
      </c>
      <c r="B3" s="25">
        <v>100</v>
      </c>
      <c r="C3" s="25">
        <v>37.08</v>
      </c>
      <c r="D3" s="25">
        <v>35.090000000000003</v>
      </c>
      <c r="E3" s="25">
        <v>2.13</v>
      </c>
      <c r="F3" s="25">
        <v>36.090000000000003</v>
      </c>
      <c r="G3" s="25">
        <v>1.32</v>
      </c>
      <c r="H3" s="25">
        <v>37.090000000000003</v>
      </c>
      <c r="I3" s="25">
        <v>0.68</v>
      </c>
      <c r="J3" s="51">
        <f>(([PR VD] - 0.01) * 2) + (([EX. VD] - [EX. CP 1] + 0.01) - [PR CP 1]) + (0.01 - [PR CP 2])</f>
        <v>0.83000000000000018</v>
      </c>
      <c r="K3" s="51">
        <f>(0.01 - [PR CP 1]) + (([PR VD] - 0.01) * 2) + (0.01 - [PR CP 2])</f>
        <v>-0.17000000000000004</v>
      </c>
      <c r="L3" s="51">
        <f>(([EX. CP 2] - [EX. CP 1] + 0.01) - [PR CP 1]) + (([PR VD] - ([EX. CP 2] - [EX. VD] + 0.01)) * 2) + (0.01 - [PR CP 2])</f>
        <v>-0.17000000000000004</v>
      </c>
      <c r="M3" s="51">
        <f>IF([PERDA 1] &gt; [PERDA 2], [PERDA 2], [PERDA 1])</f>
        <v>-0.17000000000000004</v>
      </c>
      <c r="N3" s="53">
        <f>ROUNDDOWN([BASE]/ABS([PERDA]), 0)</f>
        <v>588</v>
      </c>
      <c r="O3" s="53">
        <f>[QTDE TMP] - MOD([QTDE TMP], 100)</f>
        <v>500</v>
      </c>
      <c r="P3" s="53">
        <f>Tabela245[[#This Row],[QTDE]]*2</f>
        <v>1000</v>
      </c>
      <c r="Q3" s="52">
        <f>([QTDE]*[PR CP 1] + [QTDE]*[PR CP 2])</f>
        <v>1405</v>
      </c>
      <c r="R3" s="52">
        <f>[QTDE]*[PR VD] * 2</f>
        <v>1320</v>
      </c>
      <c r="S3" s="52">
        <f>([QTDE]*[LUCRO UNI.] - 90)</f>
        <v>325.00000000000011</v>
      </c>
      <c r="T3" s="51">
        <f>[QTDE]*[PERDA] - 90</f>
        <v>-175</v>
      </c>
      <c r="U3" s="54">
        <f>[EX. VD] / [PR. AÇÃO] - 1</f>
        <v>-2.6699029126213469E-2</v>
      </c>
      <c r="V3" s="55">
        <f>[LUCRO*]/ABS([PERDA*])</f>
        <v>1.8571428571428579</v>
      </c>
    </row>
    <row r="4" spans="1:22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1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107</v>
      </c>
      <c r="C1" s="24" t="s">
        <v>58</v>
      </c>
      <c r="D1" s="26" t="s">
        <v>110</v>
      </c>
      <c r="E1" s="26" t="s">
        <v>109</v>
      </c>
      <c r="F1" s="26" t="s">
        <v>108</v>
      </c>
      <c r="G1" s="58" t="s">
        <v>1</v>
      </c>
      <c r="H1" s="26" t="s">
        <v>75</v>
      </c>
      <c r="I1" s="26" t="s">
        <v>112</v>
      </c>
      <c r="J1" s="26" t="s">
        <v>113</v>
      </c>
      <c r="K1" s="26" t="s">
        <v>111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9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3">
        <v>1500</v>
      </c>
      <c r="H3" s="52">
        <f>-[RISCO]/[QTDE]</f>
        <v>-0.2</v>
      </c>
      <c r="I3" s="52">
        <f>[PR COMPRA] * [QTDE]</f>
        <v>600</v>
      </c>
      <c r="J3" s="64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4">
        <f>[EX. VENDA]/[PREÇO AÇÃO]-1</f>
        <v>-2.0740740740740837E-2</v>
      </c>
      <c r="O3" s="55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3">
        <v>500</v>
      </c>
      <c r="H4" s="52">
        <f>-[RISCO]/[QTDE]</f>
        <v>-0.6</v>
      </c>
      <c r="I4" s="52">
        <f>[PR COMPRA] * [QTDE]</f>
        <v>225</v>
      </c>
      <c r="J4" s="64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4">
        <f>[EX. VENDA]/[PREÇO AÇÃO]-1</f>
        <v>-7.0123456790123551E-2</v>
      </c>
      <c r="O4" s="55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3">
        <v>2400</v>
      </c>
      <c r="H5" s="91">
        <f>-[RISCO]/[QTDE]</f>
        <v>-0.20833333333333334</v>
      </c>
      <c r="I5" s="91">
        <f>[PR COMPRA] * [QTDE]</f>
        <v>3144</v>
      </c>
      <c r="J5" s="64">
        <f>[PR VENDA]-[PR COMPRA]</f>
        <v>0.79166666666666652</v>
      </c>
      <c r="K5" s="91">
        <f>[PERDA P/ OPÇÃO] + ([EX. COMPRA] - [EX. VENDA] + 0.01) - 0.01 + [PR COMPRA]</f>
        <v>2.1016666666666666</v>
      </c>
      <c r="L5" s="91">
        <f>([QTDE]*[LUCRO UNI])</f>
        <v>1899.9999999999995</v>
      </c>
      <c r="M5" s="91">
        <f>[PERDA P/ OPÇÃO]*[QTDE]</f>
        <v>-500</v>
      </c>
      <c r="N5" s="92">
        <f>[EX. VENDA]/[PREÇO AÇÃO]-1</f>
        <v>-0.101123595505618</v>
      </c>
      <c r="O5" s="93">
        <f>[LUCRO*]/ABS([PERDA*])</f>
        <v>3.7999999999999989</v>
      </c>
    </row>
    <row r="6" spans="1:15">
      <c r="A6" s="7" t="s">
        <v>15</v>
      </c>
      <c r="B6" s="84"/>
      <c r="C6" s="84"/>
      <c r="D6" s="84"/>
      <c r="E6" s="84"/>
      <c r="F6" s="84"/>
      <c r="H6" s="84"/>
      <c r="I6" s="23"/>
      <c r="J6" s="84"/>
      <c r="K6" s="84"/>
      <c r="L6" s="84"/>
      <c r="M6" s="8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1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107</v>
      </c>
      <c r="C1" s="24" t="s">
        <v>58</v>
      </c>
      <c r="D1" s="26" t="s">
        <v>110</v>
      </c>
      <c r="E1" s="26" t="s">
        <v>109</v>
      </c>
      <c r="F1" s="26" t="s">
        <v>111</v>
      </c>
      <c r="G1" s="26" t="s">
        <v>108</v>
      </c>
      <c r="H1" s="58" t="s">
        <v>1</v>
      </c>
      <c r="I1" s="26" t="s">
        <v>75</v>
      </c>
      <c r="J1" s="26" t="s">
        <v>116</v>
      </c>
      <c r="K1" s="26" t="s">
        <v>113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9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3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4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4">
        <f>[EX. VENDA]/[PREÇO AÇÃO]-1</f>
        <v>-2.0740740740740837E-2</v>
      </c>
      <c r="O3" s="55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3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4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4">
        <f>[EX. VENDA]/[PREÇO AÇÃO]-1</f>
        <v>-7.0123456790123551E-2</v>
      </c>
      <c r="O4" s="55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3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4">
        <f>[PR VENDA]-[PR COMPRA]</f>
        <v>0.72</v>
      </c>
      <c r="L5" s="52">
        <f>([QTDE]*[LUCRO UNI])</f>
        <v>720</v>
      </c>
      <c r="M5" s="52">
        <f>[PERDA P/ OPÇÃO]*[QTDE]</f>
        <v>-280</v>
      </c>
      <c r="N5" s="54">
        <f>[EX. VENDA]/[PREÇO AÇÃO]-1</f>
        <v>-7.9504388229220568E-2</v>
      </c>
      <c r="O5" s="55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60"/>
      <c r="I6" s="41"/>
      <c r="J6" s="62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97" t="s">
        <v>7</v>
      </c>
      <c r="B1" s="97"/>
      <c r="C1" s="97" t="s">
        <v>8</v>
      </c>
      <c r="D1" s="97"/>
      <c r="E1" s="96" t="s">
        <v>9</v>
      </c>
      <c r="F1" s="96" t="s">
        <v>4</v>
      </c>
      <c r="G1" s="96" t="s">
        <v>10</v>
      </c>
      <c r="H1" s="96" t="s">
        <v>11</v>
      </c>
      <c r="I1" s="96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96"/>
      <c r="F2" s="96"/>
      <c r="G2" s="96"/>
      <c r="H2" s="96"/>
      <c r="I2" s="96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95" t="s">
        <v>26</v>
      </c>
      <c r="B4" s="95"/>
      <c r="C4" s="95"/>
      <c r="D4" s="95"/>
      <c r="E4" s="95"/>
      <c r="F4" s="95"/>
    </row>
    <row r="5" spans="1:9">
      <c r="A5" s="95" t="s">
        <v>7</v>
      </c>
      <c r="B5" s="95"/>
      <c r="C5" s="95"/>
      <c r="D5" s="95" t="s">
        <v>8</v>
      </c>
      <c r="E5" s="95"/>
      <c r="F5" s="95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2012-07-05T20:11:43Z</dcterms:modified>
</cp:coreProperties>
</file>