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0" windowWidth="2310" windowHeight="930" tabRatio="802" activeTab="9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TRAVA BAIXA NEW" sheetId="6" r:id="rId6"/>
    <sheet name="BORBOLETA" sheetId="5" r:id="rId7"/>
    <sheet name="Plan1" sheetId="7" r:id="rId8"/>
    <sheet name="SETUP" sheetId="2" r:id="rId9"/>
    <sheet name="Plan2" sheetId="10" r:id="rId10"/>
    <sheet name="Plan4" sheetId="12" r:id="rId11"/>
    <sheet name="Plan6" sheetId="14" r:id="rId12"/>
  </sheets>
  <calcPr calcId="124519"/>
  <pivotCaches>
    <pivotCache cacheId="42" r:id="rId13"/>
  </pivotCaches>
  <fileRecoveryPr repairLoad="1"/>
</workbook>
</file>

<file path=xl/calcChain.xml><?xml version="1.0" encoding="utf-8"?>
<calcChain xmlns="http://schemas.openxmlformats.org/spreadsheetml/2006/main">
  <c r="O122" i="12"/>
  <c r="O123"/>
  <c r="O124"/>
  <c r="O118"/>
  <c r="O121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9"/>
  <c r="O120"/>
  <c r="J7" i="14"/>
  <c r="J8" s="1"/>
  <c r="K7"/>
  <c r="N7" s="1"/>
  <c r="N8" s="1"/>
  <c r="L6"/>
  <c r="L5"/>
  <c r="L4"/>
  <c r="K6"/>
  <c r="N6" s="1"/>
  <c r="O6" s="1"/>
  <c r="K5"/>
  <c r="N5" s="1"/>
  <c r="O5" s="1"/>
  <c r="K4"/>
  <c r="N4" s="1"/>
  <c r="O4" s="1"/>
  <c r="O7" s="1"/>
  <c r="J30" i="1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B25"/>
  <c r="B26"/>
  <c r="B27"/>
  <c r="B28"/>
  <c r="B29"/>
  <c r="J29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J14" s="1"/>
  <c r="B23"/>
  <c r="B24"/>
  <c r="J24" s="1"/>
  <c r="B3"/>
  <c r="B1" s="1"/>
  <c r="B2" i="3"/>
  <c r="B3"/>
  <c r="B4"/>
  <c r="B5"/>
  <c r="S55" i="10"/>
  <c r="J13" l="1"/>
  <c r="J12"/>
  <c r="J11"/>
  <c r="J10"/>
  <c r="J9"/>
  <c r="J8"/>
  <c r="J7"/>
  <c r="J6"/>
  <c r="J5"/>
  <c r="J4"/>
  <c r="J28"/>
  <c r="J3"/>
  <c r="J27"/>
  <c r="J26"/>
  <c r="J25"/>
  <c r="J23"/>
  <c r="J22"/>
  <c r="J21"/>
  <c r="J20"/>
  <c r="J19"/>
  <c r="J18"/>
  <c r="J17"/>
  <c r="J16"/>
  <c r="J15"/>
  <c r="S57"/>
  <c r="T56" s="1"/>
  <c r="T59" s="1"/>
  <c r="C103" i="1"/>
  <c r="C104" s="1"/>
  <c r="E102"/>
  <c r="T2" i="10"/>
  <c r="U2"/>
  <c r="S3"/>
  <c r="T3" s="1"/>
  <c r="C16"/>
  <c r="T55" l="1"/>
  <c r="E103" i="1"/>
  <c r="E104" s="1"/>
  <c r="F104" s="1"/>
  <c r="G104" s="1"/>
  <c r="U3" i="10"/>
  <c r="S4"/>
  <c r="T4" s="1"/>
  <c r="V2"/>
  <c r="W2" s="1"/>
  <c r="C12"/>
  <c r="V3" l="1"/>
  <c r="W3" s="1"/>
  <c r="U4"/>
  <c r="C1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C3"/>
  <c r="C4"/>
  <c r="C5"/>
  <c r="C6"/>
  <c r="C7"/>
  <c r="C8"/>
  <c r="C9"/>
  <c r="C10"/>
  <c r="C11"/>
  <c r="C13"/>
  <c r="C14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2"/>
  <c r="G2"/>
  <c r="D3"/>
  <c r="D4"/>
  <c r="D5"/>
  <c r="D6"/>
  <c r="D7"/>
  <c r="D8"/>
  <c r="D9"/>
  <c r="D10"/>
  <c r="D11"/>
  <c r="D12"/>
  <c r="D13"/>
  <c r="D14"/>
  <c r="D15"/>
  <c r="D16"/>
  <c r="E16" s="1"/>
  <c r="D17"/>
  <c r="E17" s="1"/>
  <c r="F17" s="1"/>
  <c r="D18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54"/>
  <c r="E54" s="1"/>
  <c r="F54" s="1"/>
  <c r="D55"/>
  <c r="E55" s="1"/>
  <c r="F55" s="1"/>
  <c r="D56"/>
  <c r="E56" s="1"/>
  <c r="F56" s="1"/>
  <c r="D57"/>
  <c r="E57" s="1"/>
  <c r="F57" s="1"/>
  <c r="D58"/>
  <c r="E58" s="1"/>
  <c r="F58" s="1"/>
  <c r="D59"/>
  <c r="E59" s="1"/>
  <c r="F59" s="1"/>
  <c r="D60"/>
  <c r="E60" s="1"/>
  <c r="F60" s="1"/>
  <c r="D61"/>
  <c r="E61" s="1"/>
  <c r="F61" s="1"/>
  <c r="D62"/>
  <c r="E62" s="1"/>
  <c r="F62" s="1"/>
  <c r="D63"/>
  <c r="E63" s="1"/>
  <c r="F63" s="1"/>
  <c r="D64"/>
  <c r="E64" s="1"/>
  <c r="F64" s="1"/>
  <c r="D65"/>
  <c r="E65" s="1"/>
  <c r="F65" s="1"/>
  <c r="D66"/>
  <c r="E66" s="1"/>
  <c r="F66" s="1"/>
  <c r="D67"/>
  <c r="E67" s="1"/>
  <c r="F67" s="1"/>
  <c r="D68"/>
  <c r="E68" s="1"/>
  <c r="F68" s="1"/>
  <c r="D69"/>
  <c r="E69" s="1"/>
  <c r="F69" s="1"/>
  <c r="D70"/>
  <c r="E70" s="1"/>
  <c r="F70" s="1"/>
  <c r="D71"/>
  <c r="E71" s="1"/>
  <c r="F71" s="1"/>
  <c r="D72"/>
  <c r="E72" s="1"/>
  <c r="F72" s="1"/>
  <c r="D73"/>
  <c r="E73" s="1"/>
  <c r="F73" s="1"/>
  <c r="D74"/>
  <c r="E74" s="1"/>
  <c r="F74" s="1"/>
  <c r="D75"/>
  <c r="E75" s="1"/>
  <c r="F75" s="1"/>
  <c r="D76"/>
  <c r="E76" s="1"/>
  <c r="F76" s="1"/>
  <c r="D77"/>
  <c r="E77" s="1"/>
  <c r="F77" s="1"/>
  <c r="D78"/>
  <c r="E78" s="1"/>
  <c r="F78" s="1"/>
  <c r="D79"/>
  <c r="E79" s="1"/>
  <c r="F79" s="1"/>
  <c r="D80"/>
  <c r="E80" s="1"/>
  <c r="F80" s="1"/>
  <c r="D2"/>
  <c r="E2" s="1"/>
  <c r="H80"/>
  <c r="H79"/>
  <c r="H77"/>
  <c r="H78"/>
  <c r="I78" s="1"/>
  <c r="H76"/>
  <c r="H75"/>
  <c r="H74"/>
  <c r="H73"/>
  <c r="H68"/>
  <c r="H69"/>
  <c r="I69" s="1"/>
  <c r="H70"/>
  <c r="I70" s="1"/>
  <c r="H71"/>
  <c r="I71" s="1"/>
  <c r="H72"/>
  <c r="I72" s="1"/>
  <c r="H62"/>
  <c r="H63"/>
  <c r="I63" s="1"/>
  <c r="H64"/>
  <c r="I64" s="1"/>
  <c r="H65"/>
  <c r="I65" s="1"/>
  <c r="H66"/>
  <c r="I66" s="1"/>
  <c r="H67"/>
  <c r="I67" s="1"/>
  <c r="H50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34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33"/>
  <c r="H30"/>
  <c r="H31"/>
  <c r="I31" s="1"/>
  <c r="H32"/>
  <c r="I32" s="1"/>
  <c r="H27"/>
  <c r="H28"/>
  <c r="I28" s="1"/>
  <c r="H29"/>
  <c r="I29" s="1"/>
  <c r="H26"/>
  <c r="H24"/>
  <c r="H25"/>
  <c r="I25" s="1"/>
  <c r="H22"/>
  <c r="H23"/>
  <c r="I23" s="1"/>
  <c r="H19"/>
  <c r="H20"/>
  <c r="I20" s="1"/>
  <c r="H21"/>
  <c r="I21" s="1"/>
  <c r="H17"/>
  <c r="H18"/>
  <c r="I18" s="1"/>
  <c r="H16"/>
  <c r="K95" i="1"/>
  <c r="L95"/>
  <c r="N95"/>
  <c r="S95"/>
  <c r="AB95"/>
  <c r="AC95"/>
  <c r="AH95"/>
  <c r="AI95"/>
  <c r="AJ95"/>
  <c r="K94"/>
  <c r="L94"/>
  <c r="N94"/>
  <c r="S94"/>
  <c r="AB94"/>
  <c r="AC94"/>
  <c r="AE94"/>
  <c r="AH94"/>
  <c r="AI94"/>
  <c r="AJ94"/>
  <c r="I17" i="10" l="1"/>
  <c r="I19"/>
  <c r="I22"/>
  <c r="I24"/>
  <c r="I26"/>
  <c r="I27"/>
  <c r="I30"/>
  <c r="I33"/>
  <c r="I34"/>
  <c r="I50"/>
  <c r="I62"/>
  <c r="I68"/>
  <c r="I73"/>
  <c r="I74"/>
  <c r="I75"/>
  <c r="I76"/>
  <c r="I77"/>
  <c r="I79"/>
  <c r="I80"/>
  <c r="V4"/>
  <c r="W4" s="1"/>
  <c r="S5"/>
  <c r="T5" s="1"/>
  <c r="F26"/>
  <c r="H2"/>
  <c r="E4"/>
  <c r="E3"/>
  <c r="F4" s="1"/>
  <c r="E15"/>
  <c r="E14"/>
  <c r="E13"/>
  <c r="E12"/>
  <c r="E11"/>
  <c r="E10"/>
  <c r="E9"/>
  <c r="E8"/>
  <c r="E7"/>
  <c r="E6"/>
  <c r="E5"/>
  <c r="F5" s="1"/>
  <c r="H15"/>
  <c r="H14"/>
  <c r="H13"/>
  <c r="H12"/>
  <c r="H11"/>
  <c r="H10"/>
  <c r="H9"/>
  <c r="H8"/>
  <c r="H7"/>
  <c r="H6"/>
  <c r="H5"/>
  <c r="H4"/>
  <c r="H3"/>
  <c r="I3" s="1"/>
  <c r="I5" l="1"/>
  <c r="I6"/>
  <c r="I7"/>
  <c r="I8"/>
  <c r="I9"/>
  <c r="I10"/>
  <c r="I11"/>
  <c r="I12"/>
  <c r="I13"/>
  <c r="I14"/>
  <c r="I15"/>
  <c r="I16"/>
  <c r="U5"/>
  <c r="S6"/>
  <c r="T6" s="1"/>
  <c r="I4"/>
  <c r="F6"/>
  <c r="F7"/>
  <c r="F8"/>
  <c r="F9"/>
  <c r="F10"/>
  <c r="F11"/>
  <c r="F12"/>
  <c r="F13"/>
  <c r="F14"/>
  <c r="F15"/>
  <c r="F16"/>
  <c r="F3"/>
  <c r="U6" l="1"/>
  <c r="S7"/>
  <c r="T7" s="1"/>
  <c r="V5"/>
  <c r="W5" s="1"/>
  <c r="N5" i="3"/>
  <c r="O5" s="1"/>
  <c r="N4"/>
  <c r="O4" s="1"/>
  <c r="V6" i="10" l="1"/>
  <c r="W6" s="1"/>
  <c r="U7"/>
  <c r="V7" s="1"/>
  <c r="W7" s="1"/>
  <c r="S8"/>
  <c r="T8" s="1"/>
  <c r="N1" i="3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U8" i="10" l="1"/>
  <c r="V8" s="1"/>
  <c r="W8" s="1"/>
  <c r="S9"/>
  <c r="T9" s="1"/>
  <c r="J3" i="6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U9" i="10" l="1"/>
  <c r="V9" s="1"/>
  <c r="W9" s="1"/>
  <c r="S10"/>
  <c r="T10" s="1"/>
  <c r="AC58" i="9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U10" i="10" l="1"/>
  <c r="V10" s="1"/>
  <c r="W10" s="1"/>
  <c r="S54" i="9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1" i="10" l="1"/>
  <c r="T11" s="1"/>
  <c r="S17" i="9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U11" i="10" l="1"/>
  <c r="V11" s="1"/>
  <c r="W11" s="1"/>
  <c r="S12"/>
  <c r="T12" s="1"/>
  <c r="AC5" i="9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U12" i="10" l="1"/>
  <c r="V12" s="1"/>
  <c r="W12" s="1"/>
  <c r="S13"/>
  <c r="T13" s="1"/>
  <c r="Q57" i="9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13" i="10" l="1"/>
  <c r="V13" s="1"/>
  <c r="W13" s="1"/>
  <c r="S14"/>
  <c r="T14" s="1"/>
  <c r="U58" i="9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U14" i="10" l="1"/>
  <c r="V14" s="1"/>
  <c r="W14" s="1"/>
  <c r="S15"/>
  <c r="T15" s="1"/>
  <c r="W57" i="9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U15" i="10" l="1"/>
  <c r="V15" s="1"/>
  <c r="W15" s="1"/>
  <c r="X58" i="9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S16" i="10" l="1"/>
  <c r="T16" s="1"/>
  <c r="Y51" i="9"/>
  <c r="Y61"/>
  <c r="Y34"/>
  <c r="Y17"/>
  <c r="Y13"/>
  <c r="Y10"/>
  <c r="Y11"/>
  <c r="AK4"/>
  <c r="U16" i="10" l="1"/>
  <c r="V16" s="1"/>
  <c r="W16" s="1"/>
  <c r="S17"/>
  <c r="T17" s="1"/>
  <c r="AK57" i="9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U17" i="10" l="1"/>
  <c r="V17" s="1"/>
  <c r="W17" s="1"/>
  <c r="S18"/>
  <c r="T18" s="1"/>
  <c r="AA57" i="9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U18" i="10" l="1"/>
  <c r="V18" s="1"/>
  <c r="W18" s="1"/>
  <c r="S19"/>
  <c r="T19" s="1"/>
  <c r="AE58" i="9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U19" i="10" l="1"/>
  <c r="V19" s="1"/>
  <c r="W19" s="1"/>
  <c r="S20"/>
  <c r="T20" s="1"/>
  <c r="AG59" i="9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U20" i="10" l="1"/>
  <c r="V20" s="1"/>
  <c r="W20" s="1"/>
  <c r="S21"/>
  <c r="T21" s="1"/>
  <c r="AH58" i="9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U21" i="10" l="1"/>
  <c r="V21" s="1"/>
  <c r="W21" s="1"/>
  <c r="N4" i="4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S22" i="10" l="1"/>
  <c r="P4" i="4"/>
  <c r="K68" i="1"/>
  <c r="L68"/>
  <c r="N68"/>
  <c r="AB68" s="1"/>
  <c r="S68"/>
  <c r="AC68"/>
  <c r="K64"/>
  <c r="L64" s="1"/>
  <c r="N64"/>
  <c r="S64"/>
  <c r="AB64"/>
  <c r="AC64"/>
  <c r="K3" i="3"/>
  <c r="K2"/>
  <c r="T22" i="10" l="1"/>
  <c r="S23"/>
  <c r="U22"/>
  <c r="V22" s="1"/>
  <c r="W22" s="1"/>
  <c r="X22" s="1"/>
  <c r="F2" i="3"/>
  <c r="G2" s="1"/>
  <c r="J2" s="1"/>
  <c r="H2"/>
  <c r="I2" s="1"/>
  <c r="T23" i="10" l="1"/>
  <c r="S24" s="1"/>
  <c r="U23"/>
  <c r="V23" s="1"/>
  <c r="W23" s="1"/>
  <c r="L2" i="8"/>
  <c r="L3"/>
  <c r="L4"/>
  <c r="L5"/>
  <c r="T24" i="10" l="1"/>
  <c r="U24"/>
  <c r="V24" s="1"/>
  <c r="W24" s="1"/>
  <c r="S25"/>
  <c r="K63" i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T25" i="10" l="1"/>
  <c r="U25"/>
  <c r="V25" s="1"/>
  <c r="W25" s="1"/>
  <c r="S26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T26" i="10" l="1"/>
  <c r="U26"/>
  <c r="V26" s="1"/>
  <c r="W26" s="1"/>
  <c r="S27"/>
  <c r="O95" i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T27" i="10" l="1"/>
  <c r="U27"/>
  <c r="V27" s="1"/>
  <c r="W27" s="1"/>
  <c r="S28"/>
  <c r="U95" i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T28" i="10" l="1"/>
  <c r="U28"/>
  <c r="V28" s="1"/>
  <c r="W28" s="1"/>
  <c r="S29"/>
  <c r="X94" i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T29" i="10" l="1"/>
  <c r="S30" s="1"/>
  <c r="U29"/>
  <c r="V29" s="1"/>
  <c r="W29" s="1"/>
  <c r="K56" i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T30" i="10" l="1"/>
  <c r="U30"/>
  <c r="V30" s="1"/>
  <c r="W30" s="1"/>
  <c r="S31"/>
  <c r="K51" i="1"/>
  <c r="L51"/>
  <c r="U51"/>
  <c r="V51"/>
  <c r="AB51"/>
  <c r="AC51"/>
  <c r="AH51"/>
  <c r="AI51"/>
  <c r="K48"/>
  <c r="L48"/>
  <c r="U48"/>
  <c r="V48"/>
  <c r="AB48"/>
  <c r="AC48"/>
  <c r="AE48"/>
  <c r="T31" i="10" l="1"/>
  <c r="U31"/>
  <c r="V31" s="1"/>
  <c r="W31" s="1"/>
  <c r="S32"/>
  <c r="I5" i="7"/>
  <c r="J5"/>
  <c r="K5"/>
  <c r="L5" s="1"/>
  <c r="M5"/>
  <c r="N5"/>
  <c r="T32" i="10" l="1"/>
  <c r="U32"/>
  <c r="V32" s="1"/>
  <c r="W32" s="1"/>
  <c r="S33"/>
  <c r="O5" i="7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T33" i="10" l="1"/>
  <c r="U33"/>
  <c r="V33" s="1"/>
  <c r="W33" s="1"/>
  <c r="S34"/>
  <c r="U50" i="1"/>
  <c r="V47"/>
  <c r="L2" i="7"/>
  <c r="O2" s="1"/>
  <c r="L3"/>
  <c r="O3" s="1"/>
  <c r="L4"/>
  <c r="O4" s="1"/>
  <c r="T34" i="10" l="1"/>
  <c r="S35" s="1"/>
  <c r="U34"/>
  <c r="V34" s="1"/>
  <c r="W34" s="1"/>
  <c r="X34" s="1"/>
  <c r="N2" i="6"/>
  <c r="T35" i="10" l="1"/>
  <c r="S36" s="1"/>
  <c r="U35"/>
  <c r="V35" s="1"/>
  <c r="W35" s="1"/>
  <c r="I2" i="6"/>
  <c r="O2"/>
  <c r="T36" i="10" l="1"/>
  <c r="U36"/>
  <c r="V36" s="1"/>
  <c r="W36" s="1"/>
  <c r="S37"/>
  <c r="K49" i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T37" i="10" l="1"/>
  <c r="U37"/>
  <c r="V37" s="1"/>
  <c r="W37" s="1"/>
  <c r="S38"/>
  <c r="V39" i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T38" i="10" l="1"/>
  <c r="U38"/>
  <c r="V38" s="1"/>
  <c r="W38" s="1"/>
  <c r="S39"/>
  <c r="V37" i="1"/>
  <c r="T39" i="10" l="1"/>
  <c r="U39"/>
  <c r="V39" s="1"/>
  <c r="W39" s="1"/>
  <c r="S40"/>
  <c r="J2" i="5"/>
  <c r="K2"/>
  <c r="L2"/>
  <c r="T2"/>
  <c r="I2" i="4"/>
  <c r="I3"/>
  <c r="O2"/>
  <c r="O3"/>
  <c r="J2"/>
  <c r="J3"/>
  <c r="T40" i="10" l="1"/>
  <c r="U40"/>
  <c r="V40" s="1"/>
  <c r="W40" s="1"/>
  <c r="S41"/>
  <c r="M2" i="5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T41" i="10" l="1"/>
  <c r="U41"/>
  <c r="V41" s="1"/>
  <c r="W41" s="1"/>
  <c r="S42"/>
  <c r="Q2" i="5"/>
  <c r="S2"/>
  <c r="R2"/>
  <c r="P2"/>
  <c r="T42" i="10" l="1"/>
  <c r="U42"/>
  <c r="V42" s="1"/>
  <c r="W42" s="1"/>
  <c r="S43"/>
  <c r="U2" i="5"/>
  <c r="K3" i="4"/>
  <c r="L3" s="1"/>
  <c r="T43" i="10" l="1"/>
  <c r="U43"/>
  <c r="V43" s="1"/>
  <c r="W43" s="1"/>
  <c r="S44"/>
  <c r="N3" i="4"/>
  <c r="M3"/>
  <c r="H3"/>
  <c r="T44" i="10" l="1"/>
  <c r="U44"/>
  <c r="V44" s="1"/>
  <c r="W44" s="1"/>
  <c r="S45"/>
  <c r="P3" i="4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T45" i="10" l="1"/>
  <c r="U45"/>
  <c r="V45" s="1"/>
  <c r="W45" s="1"/>
  <c r="S46"/>
  <c r="V43" i="1"/>
  <c r="V44"/>
  <c r="V40"/>
  <c r="V34"/>
  <c r="V33"/>
  <c r="T46" i="10" l="1"/>
  <c r="U46"/>
  <c r="V46" s="1"/>
  <c r="W46" s="1"/>
  <c r="X46" s="1"/>
  <c r="S47"/>
  <c r="K32" i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T47" i="10" l="1"/>
  <c r="U47"/>
  <c r="V47" s="1"/>
  <c r="W47" s="1"/>
  <c r="N2" i="4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s="1"/>
  <c r="AA95" s="1"/>
  <c r="AE95" s="1"/>
  <c r="AK2" l="1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5" l="1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<sst xmlns="http://schemas.openxmlformats.org/spreadsheetml/2006/main" count="1069" uniqueCount="364">
  <si>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</si>
  <si>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</si>
  <si>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</si>
  <si>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</si>
  <si>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</si>
  <si>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</si>
  <si>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</si>
  <si>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</si>
  <si>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</si>
  <si>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</si>
  <si>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</si>
  <si>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</si>
  <si>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</si>
  <si>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</si>
  <si>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</si>
  <si>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</si>
  <si>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</si>
  <si>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</si>
  <si>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</si>
  <si>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</si>
  <si>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</si>
  <si>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</si>
  <si>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</si>
  <si>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</si>
  <si>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</si>
  <si>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</si>
  <si>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</si>
  <si>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</si>
  <si>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</si>
  <si>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</si>
  <si>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</si>
  <si>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</si>
  <si>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</si>
  <si>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</si>
  <si>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</si>
  <si>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</si>
  <si>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</si>
  <si>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</si>
  <si>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</si>
  <si>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</si>
  <si>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</si>
  <si>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</si>
  <si>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</si>
  <si>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</si>
  <si>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</si>
  <si>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</si>
  <si>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</si>
  <si>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</si>
  <si>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</si>
  <si>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</si>
  <si>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</si>
  <si>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</si>
  <si>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</si>
  <si>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</si>
  <si>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</si>
  <si>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</si>
  <si>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</si>
  <si>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</si>
  <si>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</si>
  <si>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</si>
  <si>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</si>
  <si>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</si>
  <si>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</si>
  <si>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</si>
  <si>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</si>
  <si>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</si>
  <si>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</si>
  <si>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</si>
  <si>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</si>
  <si>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</si>
  <si>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</si>
  <si>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</si>
  <si>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</si>
  <si>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</si>
  <si>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</si>
  <si>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</si>
  <si>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</si>
  <si>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</si>
  <si>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</si>
  <si>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</si>
  <si>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</si>
  <si>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</si>
  <si>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</si>
  <si>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</si>
  <si>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</si>
  <si>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</si>
  <si>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</si>
  <si>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</si>
  <si>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</si>
  <si>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</si>
  <si>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</si>
  <si>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</si>
  <si>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</si>
  <si>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</si>
  <si>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</si>
  <si>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</si>
  <si>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</si>
  <si>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</si>
  <si>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</si>
  <si>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</si>
  <si>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</si>
  <si>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</si>
  <si>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</si>
  <si>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</si>
  <si>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</si>
  <si>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</si>
  <si>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</si>
  <si>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</si>
  <si>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</si>
  <si>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</si>
  <si>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</si>
  <si>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</si>
  <si>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</si>
  <si>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</si>
  <si>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</si>
  <si>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</si>
  <si>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</si>
  <si>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</si>
  <si>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</si>
  <si>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</si>
  <si>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</si>
  <si>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</si>
  <si>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</si>
  <si>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</si>
  <si>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</si>
  <si>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</si>
  <si>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</si>
  <si>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</si>
  <si>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</si>
  <si>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</si>
  <si>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</si>
  <si>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</si>
  <si>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</si>
  <si>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</si>
  <si>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</si>
  <si>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</si>
  <si>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</si>
  <si>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</si>
  <si>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</si>
  <si>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</si>
  <si>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</si>
  <si>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</si>
  <si>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</si>
  <si>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</si>
  <si>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</si>
  <si>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</si>
  <si>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</si>
  <si>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</si>
  <si>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</si>
  <si>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</si>
  <si>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</si>
  <si>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</si>
  <si>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</si>
  <si>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</si>
  <si>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</si>
  <si>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</si>
  <si>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</si>
  <si>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</si>
  <si>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</si>
  <si>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</si>
  <si>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</si>
  <si>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</si>
  <si>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</si>
  <si>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</si>
  <si>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</si>
  <si>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</si>
  <si>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</si>
  <si>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</si>
  <si>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</si>
  <si>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</si>
  <si>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</si>
  <si>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</si>
  <si>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</si>
  <si>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</si>
  <si>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</si>
  <si>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</si>
  <si>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</si>
  <si>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</si>
  <si>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</si>
  <si>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</si>
  <si>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</si>
  <si>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</si>
  <si>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</si>
  <si>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</si>
  <si>
    <t>Média</t>
  </si>
  <si>
    <t>DesvPad</t>
  </si>
  <si>
    <t>%DesvPad</t>
  </si>
  <si>
    <t>Variância</t>
  </si>
  <si>
    <t>%Variância</t>
  </si>
  <si>
    <t>petr120m</t>
  </si>
  <si>
    <t>vale120m</t>
  </si>
  <si>
    <t>sell</t>
  </si>
  <si>
    <t>eurgbp</t>
  </si>
  <si>
    <t>buy</t>
  </si>
  <si>
    <t>eurusd</t>
  </si>
  <si>
    <t>gbpusd</t>
  </si>
  <si>
    <t>usdchf</t>
  </si>
  <si>
    <t>audusd</t>
  </si>
  <si>
    <t>usdcad</t>
  </si>
  <si>
    <t>Ticket</t>
  </si>
  <si>
    <t>Type</t>
  </si>
  <si>
    <t>Size</t>
  </si>
  <si>
    <t>Item</t>
  </si>
  <si>
    <t>Price</t>
  </si>
  <si>
    <t>Commission</t>
  </si>
  <si>
    <t>Taxes</t>
  </si>
  <si>
    <t>Swap</t>
  </si>
  <si>
    <t>Profit</t>
  </si>
  <si>
    <t>Total geral</t>
  </si>
  <si>
    <t>Valores</t>
  </si>
  <si>
    <t>OpenTime</t>
  </si>
  <si>
    <t>S/L</t>
  </si>
  <si>
    <t>T/P</t>
  </si>
  <si>
    <t>CloseTime</t>
  </si>
  <si>
    <t>Trades</t>
  </si>
  <si>
    <t>Total Profit</t>
  </si>
  <si>
    <t>Price2</t>
  </si>
  <si>
    <t>Moeda</t>
  </si>
  <si>
    <t>petr1d</t>
  </si>
  <si>
    <t>vale1d</t>
  </si>
  <si>
    <t>2014,04,3009:11:42</t>
  </si>
  <si>
    <t>2014,05,0108:30:00</t>
  </si>
  <si>
    <t>2014,04,3013:00:15</t>
  </si>
  <si>
    <t>2014,05,0111:42:07</t>
  </si>
  <si>
    <t>2014,04,2913:40:59</t>
  </si>
  <si>
    <t>2014,05,0112:20:27</t>
  </si>
  <si>
    <t>2014,05,0110:53:24</t>
  </si>
  <si>
    <t>2014,05,0114:14:19</t>
  </si>
  <si>
    <t>2014,04,3010:08:23</t>
  </si>
  <si>
    <t>2014,05,0114:43:09</t>
  </si>
  <si>
    <t>2014,05,0115:10:45</t>
  </si>
  <si>
    <t>2014,05,0121:00:00</t>
  </si>
  <si>
    <t>2014,04,3010:08:21</t>
  </si>
  <si>
    <t>2014,05,0207:29:53</t>
  </si>
  <si>
    <t>2014,05,0207:03:50</t>
  </si>
  <si>
    <t>2014,05,0208:30:00</t>
  </si>
  <si>
    <t>2014,05,0210:03:27</t>
  </si>
  <si>
    <t>2014,05,0211:11:31</t>
  </si>
  <si>
    <t>2014,05,0111:19:39</t>
  </si>
  <si>
    <t>2014,05,0212:15:23</t>
  </si>
  <si>
    <t>2014,05,0212:30:07</t>
  </si>
  <si>
    <t>2014,05,0212:52:08</t>
  </si>
  <si>
    <t>2014,05,0213:10:49</t>
  </si>
  <si>
    <t>2014,05,0214:26:54</t>
  </si>
  <si>
    <t>2014,05,0210:11:03</t>
  </si>
  <si>
    <t>2014,05,0214:44:39</t>
  </si>
  <si>
    <t>2014,05,0218:43:39</t>
  </si>
  <si>
    <t>2014,05,0501:44:36</t>
  </si>
  <si>
    <t>2014,05,0512:01:26</t>
  </si>
  <si>
    <t>2014,05,0515:17:35</t>
  </si>
  <si>
    <t>2014,05,0604:32:04</t>
  </si>
  <si>
    <t>2014,05,0606:05:28</t>
  </si>
  <si>
    <t>2014,05,0604:30:05</t>
  </si>
  <si>
    <t>2014,05,0607:16:18</t>
  </si>
  <si>
    <t>2014,04,2301:45:21</t>
  </si>
  <si>
    <t>2014,05,0611:09:21</t>
  </si>
  <si>
    <t>2014,05,0606:59:43</t>
  </si>
  <si>
    <t>2014,05,0708:59:03</t>
  </si>
  <si>
    <t>2014,05,0614:30:26</t>
  </si>
  <si>
    <t>2014,05,0710:41:42</t>
  </si>
  <si>
    <t>2014,05,0708:59:06</t>
  </si>
  <si>
    <t>2014,05,0710:51:35</t>
  </si>
  <si>
    <t>2014,05,0607:15:40</t>
  </si>
  <si>
    <t>2014,05,0714:02:34</t>
  </si>
  <si>
    <t>2014,05,0610:49:47</t>
  </si>
  <si>
    <t>2014,05,0714:02:49</t>
  </si>
  <si>
    <t>2014,05,0515:57:14</t>
  </si>
  <si>
    <t>2014,05,0714:04:21</t>
  </si>
  <si>
    <t>2014,05,0602:37:18</t>
  </si>
  <si>
    <t>2014,05,0719:51:03</t>
  </si>
  <si>
    <t>2014,05,0610:48:40</t>
  </si>
  <si>
    <t>2014,05,0722:46:34</t>
  </si>
  <si>
    <t>2014,05,0714:59:37</t>
  </si>
  <si>
    <t>2014,05,0806:08:37</t>
  </si>
  <si>
    <t>2014,05,0714:06:38</t>
  </si>
  <si>
    <t>2014,05,0808:05:51</t>
  </si>
  <si>
    <t>2014,05,0719:51:35</t>
  </si>
  <si>
    <t>2014,05,0810:45:24</t>
  </si>
  <si>
    <t>2014,05,0808:13:39</t>
  </si>
  <si>
    <t>2014,05,0811:38:33</t>
  </si>
  <si>
    <t>2014,05,0810:45:26</t>
  </si>
  <si>
    <t>2014,05,0811:54:50</t>
  </si>
  <si>
    <t>2014,05,0807:19:23</t>
  </si>
  <si>
    <t>2014,05,0812:54:35</t>
  </si>
  <si>
    <t>2014,05,0812:32:49</t>
  </si>
  <si>
    <t>2014,05,0811:45:40</t>
  </si>
  <si>
    <t>2014,05,0814:00:46</t>
  </si>
  <si>
    <t>2014,05,0108:33:34</t>
  </si>
  <si>
    <t>2014,05,0817:04:00</t>
  </si>
  <si>
    <t>2014,05,0911:53:39</t>
  </si>
  <si>
    <t>2014,05,0616:07:00</t>
  </si>
  <si>
    <t>2014,05,0912:30:01</t>
  </si>
  <si>
    <t>2014,05,0815:59:36</t>
  </si>
  <si>
    <t>2014,05,0813:04:46</t>
  </si>
  <si>
    <t>2014,05,0912:39:40</t>
  </si>
  <si>
    <t>[0]</t>
  </si>
  <si>
    <t>2014,05,0909:24:27</t>
  </si>
  <si>
    <t>2014,05,1209:42:27</t>
  </si>
  <si>
    <t>2014,05,0609:38:23</t>
  </si>
  <si>
    <t>2014,05,1300:18:05</t>
  </si>
  <si>
    <t>2014,05,0918:14:34</t>
  </si>
  <si>
    <t>2014,05,1307:50:31</t>
  </si>
  <si>
    <t>2014,05,1301:31:27</t>
  </si>
  <si>
    <t>2014,05,1311:42:36</t>
  </si>
  <si>
    <t>2014,05,1308:06:31</t>
  </si>
  <si>
    <t>2014,05,1322:33:01</t>
  </si>
  <si>
    <t>2014,05,1407:13:27</t>
  </si>
  <si>
    <t>2014,05,1408:52:51</t>
  </si>
  <si>
    <t>2014,05,0908:35:42</t>
  </si>
  <si>
    <t>2014,05,1507:53:31</t>
  </si>
  <si>
    <t>2014,05,0610:47:29</t>
  </si>
  <si>
    <t>2014,05,1509:56:29</t>
  </si>
  <si>
    <t>2014,05,1411:09:22</t>
  </si>
  <si>
    <t>2014,05,1513:06:08</t>
  </si>
  <si>
    <t>2014,05,0909:22:33</t>
  </si>
  <si>
    <t>2014,05,1514:07:24</t>
  </si>
  <si>
    <t>2014,05,1507:09:37</t>
  </si>
  <si>
    <t>2014,05,1316:16:57</t>
  </si>
  <si>
    <t>2014,05,1514:09:02</t>
  </si>
  <si>
    <t>2014,05,1508:15:45</t>
  </si>
  <si>
    <t>2014,05,1515:12:55</t>
  </si>
  <si>
    <t>0.00000</t>
  </si>
  <si>
    <t>0.00</t>
  </si>
  <si>
    <t>1.03</t>
  </si>
  <si>
    <t>1.51</t>
  </si>
  <si>
    <t>1.30</t>
  </si>
  <si>
    <t>[1]</t>
  </si>
  <si>
    <t>2014,05,1612:36:24</t>
  </si>
  <si>
    <t>2014,05,1613:27:53</t>
  </si>
  <si>
    <t>2014,05,1904:35:43</t>
  </si>
  <si>
    <t>2014,05,1907:53:42</t>
  </si>
  <si>
    <t>2014,05,0803:01:21</t>
  </si>
  <si>
    <t>2014,05,2006:42:53</t>
  </si>
  <si>
    <t>2014,05,2007:10:29</t>
  </si>
  <si>
    <t>2014,05,2010:05:32</t>
  </si>
  <si>
    <t>2014,05,1915:59:59</t>
  </si>
  <si>
    <t>2014,05,2022:58:58</t>
  </si>
  <si>
    <t>2014,05,0813:15:40</t>
  </si>
  <si>
    <t>2014,05,2111:01:24</t>
  </si>
  <si>
    <t>[2]</t>
  </si>
  <si>
    <t>2014,05,2007:07:56</t>
  </si>
  <si>
    <t>2014,05,2112:55:23</t>
  </si>
  <si>
    <t>Total Swap</t>
  </si>
  <si>
    <t>* Total</t>
  </si>
  <si>
    <t>Média de Total</t>
  </si>
  <si>
    <t>DesvPad de Total</t>
  </si>
  <si>
    <t>2014.05.21 11:01:27</t>
  </si>
  <si>
    <t>2014.05.21 18:39:34</t>
  </si>
  <si>
    <t>2014.05.21 12:37:14</t>
  </si>
  <si>
    <t>2014.05.21 13:14:52</t>
  </si>
  <si>
    <t>0.92113</t>
  </si>
  <si>
    <t>0.92370</t>
  </si>
  <si>
    <t>2014.05.21 18:44:57</t>
  </si>
  <si>
    <t>2014.05.21 14:01:41</t>
  </si>
  <si>
    <t>1.09</t>
  </si>
  <si>
    <t>2014.05.22 02:15:29</t>
  </si>
  <si>
    <t>2014.05.21 17:11:05</t>
  </si>
  <si>
    <t>2.29</t>
  </si>
  <si>
    <t>0.89585</t>
  </si>
  <si>
    <t>0.89250</t>
  </si>
  <si>
    <t>2014.05.22 08:37:27</t>
  </si>
  <si>
    <t>2014.05.20 08:06:47</t>
  </si>
  <si>
    <t>0.72</t>
  </si>
  <si>
    <t>2014.05.22 14:29:44</t>
  </si>
</sst>
</file>

<file path=xl/styles.xml><?xml version="1.0" encoding="utf-8"?>
<styleSheet xmlns="http://schemas.openxmlformats.org/spreadsheetml/2006/main">
  <numFmts count="11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9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0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172" fontId="3" fillId="0" borderId="0" xfId="3" applyNumberFormat="1" applyFont="1" applyBorder="1" applyAlignment="1"/>
    <xf numFmtId="167" fontId="3" fillId="0" borderId="0" xfId="2" applyNumberFormat="1" applyFont="1"/>
    <xf numFmtId="10" fontId="4" fillId="0" borderId="0" xfId="2" applyNumberFormat="1" applyFont="1"/>
    <xf numFmtId="43" fontId="4" fillId="0" borderId="0" xfId="3" applyFont="1"/>
    <xf numFmtId="9" fontId="4" fillId="0" borderId="0" xfId="2" applyFont="1"/>
    <xf numFmtId="9" fontId="3" fillId="0" borderId="0" xfId="2" applyFont="1"/>
    <xf numFmtId="167" fontId="4" fillId="0" borderId="0" xfId="2" applyNumberFormat="1" applyFont="1"/>
    <xf numFmtId="0" fontId="16" fillId="3" borderId="3" xfId="0" applyFont="1" applyFill="1" applyBorder="1" applyAlignment="1">
      <alignment horizontal="right" wrapText="1"/>
    </xf>
    <xf numFmtId="0" fontId="16" fillId="3" borderId="4" xfId="0" applyFont="1" applyFill="1" applyBorder="1" applyAlignment="1">
      <alignment horizontal="right"/>
    </xf>
    <xf numFmtId="0" fontId="16" fillId="3" borderId="4" xfId="0" applyFont="1" applyFill="1" applyBorder="1" applyAlignment="1">
      <alignment horizontal="right" wrapText="1"/>
    </xf>
    <xf numFmtId="0" fontId="16" fillId="2" borderId="4" xfId="0" applyFont="1" applyFill="1" applyBorder="1" applyAlignment="1">
      <alignment horizontal="right"/>
    </xf>
    <xf numFmtId="0" fontId="16" fillId="2" borderId="4" xfId="0" applyFont="1" applyFill="1" applyBorder="1" applyAlignment="1">
      <alignment horizontal="right" wrapText="1"/>
    </xf>
    <xf numFmtId="3" fontId="16" fillId="2" borderId="4" xfId="0" applyNumberFormat="1" applyFont="1" applyFill="1" applyBorder="1" applyAlignment="1">
      <alignment horizontal="right" wrapText="1"/>
    </xf>
    <xf numFmtId="0" fontId="16" fillId="0" borderId="4" xfId="0" applyFont="1" applyBorder="1" applyAlignment="1">
      <alignment horizontal="right" wrapText="1"/>
    </xf>
    <xf numFmtId="3" fontId="16" fillId="3" borderId="4" xfId="0" applyNumberFormat="1" applyFont="1" applyFill="1" applyBorder="1" applyAlignment="1">
      <alignment horizontal="right" wrapText="1"/>
    </xf>
    <xf numFmtId="0" fontId="15" fillId="2" borderId="5" xfId="0" applyFont="1" applyFill="1" applyBorder="1"/>
    <xf numFmtId="0" fontId="16" fillId="0" borderId="3" xfId="0" applyFont="1" applyBorder="1" applyAlignment="1">
      <alignment horizontal="right" wrapText="1"/>
    </xf>
    <xf numFmtId="0" fontId="15" fillId="0" borderId="4" xfId="0" applyFont="1" applyBorder="1"/>
    <xf numFmtId="0" fontId="17" fillId="4" borderId="4" xfId="0" applyFont="1" applyFill="1" applyBorder="1" applyAlignment="1">
      <alignment horizontal="center" wrapText="1"/>
    </xf>
    <xf numFmtId="0" fontId="17" fillId="4" borderId="4" xfId="0" applyFont="1" applyFill="1" applyBorder="1" applyAlignment="1">
      <alignment horizontal="center"/>
    </xf>
    <xf numFmtId="43" fontId="3" fillId="0" borderId="6" xfId="0" applyNumberFormat="1" applyFont="1" applyBorder="1"/>
    <xf numFmtId="164" fontId="3" fillId="0" borderId="6" xfId="1" applyFont="1" applyBorder="1"/>
    <xf numFmtId="0" fontId="16" fillId="2" borderId="3" xfId="0" applyFont="1" applyFill="1" applyBorder="1" applyAlignment="1">
      <alignment horizontal="right" wrapText="1"/>
    </xf>
    <xf numFmtId="0" fontId="16" fillId="2" borderId="5" xfId="0" applyFont="1" applyFill="1" applyBorder="1" applyAlignment="1">
      <alignment horizontal="right" wrapText="1"/>
    </xf>
    <xf numFmtId="0" fontId="15" fillId="0" borderId="5" xfId="0" applyFont="1" applyBorder="1"/>
    <xf numFmtId="0" fontId="16" fillId="3" borderId="5" xfId="0" applyFont="1" applyFill="1" applyBorder="1" applyAlignment="1">
      <alignment horizontal="right" wrapText="1"/>
    </xf>
    <xf numFmtId="0" fontId="15" fillId="2" borderId="4" xfId="0" applyFon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6" fillId="2" borderId="3" xfId="0" applyFont="1" applyFill="1" applyBorder="1" applyAlignment="1">
      <alignment horizontal="right" wrapText="1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3" borderId="0" xfId="0" applyFont="1" applyFill="1" applyAlignment="1">
      <alignment horizontal="right" wrapText="1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 wrapText="1"/>
    </xf>
    <xf numFmtId="3" fontId="16" fillId="0" borderId="0" xfId="0" applyNumberFormat="1" applyFont="1" applyAlignment="1">
      <alignment horizontal="right" wrapText="1"/>
    </xf>
    <xf numFmtId="0" fontId="17" fillId="4" borderId="2" xfId="0" applyFont="1" applyFill="1" applyBorder="1" applyAlignment="1">
      <alignment horizontal="center" wrapText="1"/>
    </xf>
    <xf numFmtId="0" fontId="18" fillId="0" borderId="0" xfId="0" pivotButton="1" applyFont="1"/>
    <xf numFmtId="0" fontId="18" fillId="0" borderId="0" xfId="0" applyFont="1"/>
    <xf numFmtId="44" fontId="18" fillId="0" borderId="0" xfId="1" applyNumberFormat="1" applyFont="1"/>
    <xf numFmtId="10" fontId="18" fillId="0" borderId="0" xfId="2" applyNumberFormat="1" applyFont="1"/>
    <xf numFmtId="44" fontId="18" fillId="0" borderId="0" xfId="0" applyNumberFormat="1" applyFont="1"/>
    <xf numFmtId="0" fontId="18" fillId="0" borderId="0" xfId="0" applyFont="1" applyAlignment="1">
      <alignment horizontal="left"/>
    </xf>
    <xf numFmtId="0" fontId="18" fillId="0" borderId="0" xfId="0" applyNumberFormat="1" applyFont="1"/>
    <xf numFmtId="0" fontId="16" fillId="3" borderId="2" xfId="0" applyFont="1" applyFill="1" applyBorder="1" applyAlignment="1">
      <alignment horizontal="right" wrapText="1"/>
    </xf>
    <xf numFmtId="0" fontId="16" fillId="0" borderId="2" xfId="0" applyFont="1" applyBorder="1" applyAlignment="1">
      <alignment horizontal="right" wrapText="1"/>
    </xf>
    <xf numFmtId="0" fontId="16" fillId="2" borderId="2" xfId="0" applyFont="1" applyFill="1" applyBorder="1" applyAlignment="1">
      <alignment horizontal="right" wrapText="1"/>
    </xf>
    <xf numFmtId="0" fontId="1" fillId="0" borderId="0" xfId="0" applyNumberFormat="1" applyFont="1"/>
    <xf numFmtId="0" fontId="1" fillId="0" borderId="0" xfId="0" applyNumberFormat="1" applyFont="1" applyBorder="1"/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41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C0C0C0"/>
        </patternFill>
      </fill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781.549485763891" createdVersion="3" refreshedVersion="3" minRefreshableVersion="3" recordCount="123">
  <cacheSource type="worksheet">
    <worksheetSource name="Tabela9"/>
  </cacheSource>
  <cacheFields count="15">
    <cacheField name="Ticket" numFmtId="0">
      <sharedItems containsString="0" containsBlank="1" containsNumber="1" containsInteger="1" minValue="21091913" maxValue="21352984"/>
    </cacheField>
    <cacheField name="OpenTime" numFmtId="0">
      <sharedItems containsBlank="1"/>
    </cacheField>
    <cacheField name="Type" numFmtId="0">
      <sharedItems containsBlank="1" count="4">
        <s v="buy"/>
        <m/>
        <s v="sell"/>
        <s v="balance" u="1"/>
      </sharedItems>
    </cacheField>
    <cacheField name="Size" numFmtId="0">
      <sharedItems containsBlank="1" containsMixedTypes="1" containsNumber="1" minValue="0.53" maxValue="8.27"/>
    </cacheField>
    <cacheField name="Item" numFmtId="0">
      <sharedItems containsBlank="1" count="7">
        <s v="eurgbp"/>
        <m/>
        <s v="gbpusd"/>
        <s v="usdcad"/>
        <s v="eurusd"/>
        <s v="usdchf"/>
        <s v="audusd"/>
      </sharedItems>
    </cacheField>
    <cacheField name="Price" numFmtId="0">
      <sharedItems containsBlank="1" containsMixedTypes="1" containsNumber="1" minValue="0.81433" maxValue="169732"/>
    </cacheField>
    <cacheField name="S/L" numFmtId="0">
      <sharedItems containsBlank="1" containsMixedTypes="1" containsNumber="1" minValue="0.81430000000000002" maxValue="169730"/>
    </cacheField>
    <cacheField name="T/P" numFmtId="0">
      <sharedItems containsBlank="1" containsMixedTypes="1" containsNumber="1" containsInteger="1" minValue="0" maxValue="0"/>
    </cacheField>
    <cacheField name="CloseTime" numFmtId="0">
      <sharedItems containsBlank="1"/>
    </cacheField>
    <cacheField name="Price2" numFmtId="0">
      <sharedItems containsMixedTypes="1" containsNumber="1" minValue="0.80893000000000004" maxValue="169730"/>
    </cacheField>
    <cacheField name="Commission" numFmtId="0">
      <sharedItems containsMixedTypes="1" containsNumber="1" containsInteger="1" minValue="0" maxValue="0" count="4">
        <s v="[0]"/>
        <n v="0"/>
        <s v="[1]"/>
        <s v="[2]"/>
      </sharedItems>
    </cacheField>
    <cacheField name="Taxes" numFmtId="0">
      <sharedItems containsBlank="1" containsMixedTypes="1" containsNumber="1" containsInteger="1" minValue="0" maxValue="0"/>
    </cacheField>
    <cacheField name="Swap" numFmtId="0">
      <sharedItems containsString="0" containsBlank="1" containsNumber="1" minValue="-901.61" maxValue="76.31"/>
    </cacheField>
    <cacheField name="Profit" numFmtId="0">
      <sharedItems containsString="0" containsBlank="1" containsNumber="1" minValue="-2985.47" maxValue="3378.82"/>
    </cacheField>
    <cacheField name="Total" numFmtId="0">
      <sharedItems containsSemiMixedTypes="0" containsString="0" containsNumber="1" minValue="-3887.08" maxValue="3358.0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n v="21157802"/>
    <s v="2014,04,3009:11:42"/>
    <x v="0"/>
    <n v="2.46"/>
    <x v="0"/>
    <n v="0.82203999999999999"/>
    <n v="0.82130000000000003"/>
    <n v="0"/>
    <s v="2014,05,0108:30:00"/>
    <n v="0.82130000000000003"/>
    <x v="0"/>
    <m/>
    <n v="-27.81"/>
    <n v="-307.51"/>
    <n v="-335.32"/>
  </r>
  <r>
    <m/>
    <m/>
    <x v="1"/>
    <m/>
    <x v="1"/>
    <m/>
    <m/>
    <m/>
    <m/>
    <n v="8855"/>
    <x v="1"/>
    <m/>
    <m/>
    <m/>
    <n v="0"/>
  </r>
  <r>
    <n v="21160825"/>
    <s v="2014,04,3013:00:15"/>
    <x v="0"/>
    <n v="1.03"/>
    <x v="2"/>
    <n v="168537"/>
    <n v="168930"/>
    <n v="0"/>
    <s v="2014,05,0111:42:07"/>
    <n v="168930"/>
    <x v="0"/>
    <n v="0"/>
    <n v="-3.4"/>
    <n v="404.79"/>
    <n v="401.39000000000004"/>
  </r>
  <r>
    <m/>
    <m/>
    <x v="1"/>
    <m/>
    <x v="1"/>
    <m/>
    <m/>
    <m/>
    <m/>
    <n v="8855"/>
    <x v="1"/>
    <m/>
    <m/>
    <m/>
    <n v="0"/>
  </r>
  <r>
    <n v="21148469"/>
    <s v="2014,04,2913:40:59"/>
    <x v="2"/>
    <n v="1.5"/>
    <x v="3"/>
    <n v="109612"/>
    <n v="109910"/>
    <n v="0"/>
    <s v="2014,05,0112:20:27"/>
    <n v="109910"/>
    <x v="2"/>
    <n v="0"/>
    <n v="-5.04"/>
    <n v="-406.7"/>
    <n v="-411.74"/>
  </r>
  <r>
    <m/>
    <m/>
    <x v="1"/>
    <m/>
    <x v="1"/>
    <m/>
    <m/>
    <m/>
    <m/>
    <n v="8855"/>
    <x v="1"/>
    <m/>
    <m/>
    <m/>
    <n v="0"/>
  </r>
  <r>
    <n v="21171678"/>
    <s v="2014,05,0110:53:24"/>
    <x v="0"/>
    <n v="1.24"/>
    <x v="3"/>
    <n v="109816"/>
    <n v="109780"/>
    <n v="0"/>
    <s v="2014,05,0114:14:19"/>
    <n v="109780"/>
    <x v="0"/>
    <n v="0"/>
    <n v="0"/>
    <n v="-40.659999999999997"/>
    <n v="-40.659999999999997"/>
  </r>
  <r>
    <m/>
    <m/>
    <x v="1"/>
    <m/>
    <x v="1"/>
    <m/>
    <m/>
    <m/>
    <m/>
    <n v="8855"/>
    <x v="1"/>
    <m/>
    <m/>
    <m/>
    <n v="0"/>
  </r>
  <r>
    <n v="21158522"/>
    <s v="2014,04,3010:08:23"/>
    <x v="0"/>
    <n v="0.61"/>
    <x v="4"/>
    <n v="138382"/>
    <n v="138650"/>
    <n v="0"/>
    <s v="2014,05,0114:43:09"/>
    <n v="138650"/>
    <x v="0"/>
    <n v="0"/>
    <n v="-4.32"/>
    <n v="163.47999999999999"/>
    <n v="159.16"/>
  </r>
  <r>
    <m/>
    <m/>
    <x v="1"/>
    <m/>
    <x v="1"/>
    <m/>
    <m/>
    <m/>
    <m/>
    <n v="8855"/>
    <x v="1"/>
    <m/>
    <m/>
    <m/>
    <n v="0"/>
  </r>
  <r>
    <n v="21174930"/>
    <s v="2014,05,0115:10:45"/>
    <x v="2"/>
    <n v="2.2000000000000002"/>
    <x v="0"/>
    <n v="0.82042999999999999"/>
    <n v="0.82130000000000003"/>
    <n v="0"/>
    <s v="2014,05,0121:00:00"/>
    <n v="0.82130000000000003"/>
    <x v="0"/>
    <n v="0"/>
    <n v="0"/>
    <n v="-323.39999999999998"/>
    <n v="-323.39999999999998"/>
  </r>
  <r>
    <m/>
    <m/>
    <x v="1"/>
    <m/>
    <x v="1"/>
    <m/>
    <m/>
    <m/>
    <m/>
    <n v="8855"/>
    <x v="1"/>
    <m/>
    <m/>
    <m/>
    <n v="0"/>
  </r>
  <r>
    <n v="21158520"/>
    <s v="2014,04,3010:08:21"/>
    <x v="2"/>
    <n v="0.94"/>
    <x v="5"/>
    <n v="0.88124000000000002"/>
    <n v="0.88060000000000005"/>
    <n v="0"/>
    <s v="2014,05,0207:29:53"/>
    <n v="0.88060000000000005"/>
    <x v="0"/>
    <n v="0"/>
    <n v="-7.4"/>
    <n v="68.319999999999993"/>
    <n v="60.919999999999995"/>
  </r>
  <r>
    <m/>
    <m/>
    <x v="1"/>
    <m/>
    <x v="1"/>
    <m/>
    <m/>
    <m/>
    <m/>
    <n v="8855"/>
    <x v="1"/>
    <m/>
    <m/>
    <m/>
    <n v="0"/>
  </r>
  <r>
    <n v="21180476"/>
    <s v="2014,05,0207:03:50"/>
    <x v="2"/>
    <n v="2.63"/>
    <x v="0"/>
    <n v="0.82013999999999998"/>
    <n v="0.82110000000000005"/>
    <n v="0"/>
    <s v="2014,05,0208:30:00"/>
    <n v="0.82110000000000005"/>
    <x v="0"/>
    <n v="0"/>
    <n v="0"/>
    <n v="-426.15"/>
    <n v="-426.15"/>
  </r>
  <r>
    <m/>
    <m/>
    <x v="1"/>
    <m/>
    <x v="1"/>
    <m/>
    <m/>
    <m/>
    <m/>
    <n v="8855"/>
    <x v="1"/>
    <m/>
    <m/>
    <m/>
    <n v="0"/>
  </r>
  <r>
    <n v="21181872"/>
    <s v="2014,05,0210:03:27"/>
    <x v="0"/>
    <n v="1.86"/>
    <x v="3"/>
    <n v="109785"/>
    <n v="109580"/>
    <n v="0"/>
    <s v="2014,05,0211:11:31"/>
    <n v="109580"/>
    <x v="0"/>
    <n v="0"/>
    <n v="0"/>
    <n v="-347.96"/>
    <n v="-347.96"/>
  </r>
  <r>
    <m/>
    <m/>
    <x v="1"/>
    <m/>
    <x v="1"/>
    <m/>
    <m/>
    <m/>
    <m/>
    <n v="8855"/>
    <x v="1"/>
    <m/>
    <m/>
    <m/>
    <n v="0"/>
  </r>
  <r>
    <n v="21171909"/>
    <s v="2014,05,0111:19:39"/>
    <x v="2"/>
    <n v="1.64"/>
    <x v="6"/>
    <n v="0.92681000000000002"/>
    <n v="0.9264"/>
    <n v="0"/>
    <s v="2014,05,0212:15:23"/>
    <n v="0.9264"/>
    <x v="0"/>
    <n v="0"/>
    <n v="-13.75"/>
    <n v="67.239999999999995"/>
    <n v="53.489999999999995"/>
  </r>
  <r>
    <m/>
    <m/>
    <x v="1"/>
    <m/>
    <x v="1"/>
    <m/>
    <m/>
    <m/>
    <m/>
    <n v="8855"/>
    <x v="1"/>
    <m/>
    <m/>
    <m/>
    <n v="0"/>
  </r>
  <r>
    <n v="21183447"/>
    <s v="2014,05,0212:30:07"/>
    <x v="0"/>
    <n v="1.43"/>
    <x v="3"/>
    <n v="110045"/>
    <n v="109780"/>
    <n v="0"/>
    <s v="2014,05,0212:52:08"/>
    <n v="109780"/>
    <x v="0"/>
    <n v="0"/>
    <n v="0"/>
    <n v="-345.19"/>
    <n v="-345.19"/>
  </r>
  <r>
    <m/>
    <m/>
    <x v="1"/>
    <m/>
    <x v="1"/>
    <m/>
    <m/>
    <m/>
    <m/>
    <n v="8855"/>
    <x v="1"/>
    <m/>
    <m/>
    <m/>
    <n v="0"/>
  </r>
  <r>
    <n v="21184928"/>
    <s v="2014,05,0213:10:49"/>
    <x v="0"/>
    <n v="0.66"/>
    <x v="5"/>
    <n v="0.88414999999999999"/>
    <n v="0.8821"/>
    <n v="0"/>
    <s v="2014,05,0214:26:54"/>
    <n v="0.8821"/>
    <x v="0"/>
    <n v="0"/>
    <n v="0"/>
    <n v="-153.38"/>
    <n v="-153.38"/>
  </r>
  <r>
    <m/>
    <m/>
    <x v="1"/>
    <m/>
    <x v="1"/>
    <m/>
    <m/>
    <m/>
    <m/>
    <n v="8855"/>
    <x v="1"/>
    <m/>
    <m/>
    <m/>
    <n v="0"/>
  </r>
  <r>
    <n v="21181969"/>
    <s v="2014,05,0210:11:03"/>
    <x v="2"/>
    <n v="1.5"/>
    <x v="2"/>
    <n v="168671"/>
    <n v="168800"/>
    <n v="0"/>
    <s v="2014,05,0214:44:39"/>
    <n v="168800"/>
    <x v="0"/>
    <n v="0"/>
    <n v="0"/>
    <n v="-193.5"/>
    <n v="-193.5"/>
  </r>
  <r>
    <m/>
    <m/>
    <x v="1"/>
    <m/>
    <x v="1"/>
    <m/>
    <m/>
    <m/>
    <m/>
    <n v="8855"/>
    <x v="1"/>
    <m/>
    <m/>
    <m/>
    <n v="0"/>
  </r>
  <r>
    <n v="21191074"/>
    <s v="2014,05,0218:43:39"/>
    <x v="0"/>
    <n v="1.99"/>
    <x v="0"/>
    <n v="0.82264999999999999"/>
    <n v="0.82130000000000003"/>
    <n v="0"/>
    <s v="2014,05,0501:44:36"/>
    <n v="0.82130000000000003"/>
    <x v="0"/>
    <n v="0"/>
    <n v="-7.5"/>
    <n v="-453.41"/>
    <n v="-460.91"/>
  </r>
  <r>
    <m/>
    <m/>
    <x v="1"/>
    <m/>
    <x v="1"/>
    <m/>
    <m/>
    <m/>
    <m/>
    <n v="8855"/>
    <x v="1"/>
    <m/>
    <m/>
    <m/>
    <n v="0"/>
  </r>
  <r>
    <n v="21198835"/>
    <s v="2014,05,0512:01:26"/>
    <x v="0"/>
    <n v="2.4900000000000002"/>
    <x v="0"/>
    <n v="0.82335999999999998"/>
    <n v="0.82240000000000002"/>
    <n v="0"/>
    <s v="2014,05,0515:17:35"/>
    <n v="0.82240000000000002"/>
    <x v="0"/>
    <n v="0"/>
    <n v="0"/>
    <n v="-403.26"/>
    <n v="-403.26"/>
  </r>
  <r>
    <m/>
    <m/>
    <x v="1"/>
    <m/>
    <x v="1"/>
    <m/>
    <m/>
    <m/>
    <m/>
    <n v="8855"/>
    <x v="1"/>
    <m/>
    <m/>
    <m/>
    <n v="0"/>
  </r>
  <r>
    <n v="21205928"/>
    <s v="2014,05,0604:32:04"/>
    <x v="0"/>
    <n v="3.39"/>
    <x v="4"/>
    <n v="138845"/>
    <n v="138750"/>
    <n v="0"/>
    <s v="2014,05,0606:05:28"/>
    <n v="138750"/>
    <x v="0"/>
    <n v="0"/>
    <n v="0"/>
    <n v="-322.05"/>
    <n v="-322.05"/>
  </r>
  <r>
    <m/>
    <m/>
    <x v="1"/>
    <m/>
    <x v="1"/>
    <m/>
    <m/>
    <m/>
    <m/>
    <n v="8855"/>
    <x v="1"/>
    <m/>
    <m/>
    <m/>
    <n v="0"/>
  </r>
  <r>
    <n v="21205878"/>
    <s v="2014,05,0604:30:05"/>
    <x v="2"/>
    <n v="3.11"/>
    <x v="0"/>
    <n v="0.82184000000000001"/>
    <n v="0.82240000000000002"/>
    <n v="0"/>
    <s v="2014,05,0607:16:18"/>
    <n v="0.82240000000000002"/>
    <x v="0"/>
    <n v="0"/>
    <n v="0"/>
    <n v="-294.60000000000002"/>
    <n v="-294.60000000000002"/>
  </r>
  <r>
    <m/>
    <m/>
    <x v="1"/>
    <m/>
    <x v="1"/>
    <m/>
    <m/>
    <m/>
    <m/>
    <n v="8855"/>
    <x v="1"/>
    <m/>
    <m/>
    <m/>
    <n v="0"/>
  </r>
  <r>
    <n v="21091913"/>
    <s v="2014,04,2301:45:21"/>
    <x v="2"/>
    <n v="8.27"/>
    <x v="6"/>
    <n v="0.93108999999999997"/>
    <n v="0.93469999999999998"/>
    <n v="0"/>
    <s v="2014,05,0611:09:21"/>
    <n v="0.93469999999999998"/>
    <x v="3"/>
    <n v="0"/>
    <n v="-901.61"/>
    <n v="-2985.47"/>
    <n v="-3887.08"/>
  </r>
  <r>
    <m/>
    <m/>
    <x v="1"/>
    <m/>
    <x v="1"/>
    <m/>
    <m/>
    <m/>
    <m/>
    <n v="8855"/>
    <x v="1"/>
    <m/>
    <m/>
    <m/>
    <n v="0"/>
  </r>
  <r>
    <n v="21206836"/>
    <s v="2014,05,0606:59:43"/>
    <x v="0"/>
    <n v="2.62"/>
    <x v="4"/>
    <n v="138887"/>
    <n v="139130"/>
    <n v="0"/>
    <s v="2014,05,0708:59:03"/>
    <n v="139130"/>
    <x v="0"/>
    <n v="0"/>
    <n v="-6.22"/>
    <n v="636.66"/>
    <n v="630.43999999999994"/>
  </r>
  <r>
    <m/>
    <m/>
    <x v="1"/>
    <m/>
    <x v="1"/>
    <m/>
    <m/>
    <m/>
    <m/>
    <n v="8855"/>
    <x v="1"/>
    <m/>
    <m/>
    <m/>
    <n v="0"/>
  </r>
  <r>
    <n v="21212490"/>
    <s v="2014,05,0614:30:26"/>
    <x v="2"/>
    <n v="1.71"/>
    <x v="0"/>
    <n v="0.81952999999999998"/>
    <n v="0.82120000000000004"/>
    <n v="0"/>
    <s v="2014,05,0710:41:42"/>
    <n v="0.82120000000000004"/>
    <x v="0"/>
    <n v="0"/>
    <n v="-1.47"/>
    <n v="-484.35"/>
    <n v="-485.82000000000005"/>
  </r>
  <r>
    <m/>
    <m/>
    <x v="1"/>
    <m/>
    <x v="1"/>
    <m/>
    <m/>
    <m/>
    <m/>
    <n v="8855"/>
    <x v="1"/>
    <m/>
    <m/>
    <m/>
    <n v="0"/>
  </r>
  <r>
    <n v="21219976"/>
    <s v="2014,05,0708:59:06"/>
    <x v="2"/>
    <n v="1.84"/>
    <x v="4"/>
    <n v="139133"/>
    <n v="139310"/>
    <n v="0"/>
    <s v="2014,05,0710:51:35"/>
    <n v="139310"/>
    <x v="0"/>
    <n v="0"/>
    <n v="0"/>
    <n v="-325.68"/>
    <n v="-325.68"/>
  </r>
  <r>
    <m/>
    <m/>
    <x v="1"/>
    <m/>
    <x v="1"/>
    <m/>
    <m/>
    <m/>
    <m/>
    <n v="8855"/>
    <x v="1"/>
    <m/>
    <m/>
    <m/>
    <n v="0"/>
  </r>
  <r>
    <n v="21207137"/>
    <s v="2014,05,0607:15:40"/>
    <x v="2"/>
    <n v="2.82"/>
    <x v="5"/>
    <n v="0.87665999999999999"/>
    <n v="0.87570000000000003"/>
    <n v="0"/>
    <s v="2014,05,0714:02:34"/>
    <n v="0.87570000000000003"/>
    <x v="0"/>
    <n v="0"/>
    <n v="-5.55"/>
    <n v="309.14999999999998"/>
    <n v="303.59999999999997"/>
  </r>
  <r>
    <m/>
    <m/>
    <x v="1"/>
    <m/>
    <x v="1"/>
    <m/>
    <m/>
    <m/>
    <m/>
    <n v="8855"/>
    <x v="1"/>
    <m/>
    <m/>
    <m/>
    <n v="0"/>
  </r>
  <r>
    <n v="21209678"/>
    <s v="2014,05,0610:49:47"/>
    <x v="2"/>
    <n v="1.35"/>
    <x v="5"/>
    <n v="0.87314000000000003"/>
    <n v="0.87580000000000002"/>
    <n v="0"/>
    <s v="2014,05,0714:02:49"/>
    <n v="0.87580000000000002"/>
    <x v="2"/>
    <n v="0"/>
    <n v="-2.66"/>
    <n v="-410.03"/>
    <n v="-412.69"/>
  </r>
  <r>
    <m/>
    <m/>
    <x v="1"/>
    <m/>
    <x v="1"/>
    <m/>
    <m/>
    <m/>
    <m/>
    <n v="8855"/>
    <x v="1"/>
    <m/>
    <m/>
    <m/>
    <n v="0"/>
  </r>
  <r>
    <n v="21201662"/>
    <s v="2014,05,0515:57:14"/>
    <x v="2"/>
    <n v="1.68"/>
    <x v="3"/>
    <n v="109513"/>
    <n v="109080"/>
    <n v="0"/>
    <s v="2014,05,0714:04:21"/>
    <n v="109080"/>
    <x v="0"/>
    <n v="0"/>
    <n v="-2.82"/>
    <n v="666.89"/>
    <n v="664.06999999999994"/>
  </r>
  <r>
    <m/>
    <m/>
    <x v="1"/>
    <m/>
    <x v="1"/>
    <m/>
    <m/>
    <m/>
    <m/>
    <n v="8855"/>
    <x v="1"/>
    <m/>
    <m/>
    <m/>
    <n v="0"/>
  </r>
  <r>
    <n v="21205435"/>
    <s v="2014,05,0602:37:18"/>
    <x v="0"/>
    <n v="2.31"/>
    <x v="2"/>
    <n v="168795"/>
    <n v="169510"/>
    <n v="0"/>
    <s v="2014,05,0719:51:03"/>
    <n v="169510"/>
    <x v="0"/>
    <n v="0"/>
    <n v="-2.56"/>
    <n v="1651.65"/>
    <n v="1649.0900000000001"/>
  </r>
  <r>
    <m/>
    <m/>
    <x v="1"/>
    <m/>
    <x v="1"/>
    <m/>
    <m/>
    <m/>
    <m/>
    <n v="8855"/>
    <x v="1"/>
    <m/>
    <m/>
    <m/>
    <n v="0"/>
  </r>
  <r>
    <n v="21209666"/>
    <s v="2014,05,0610:48:40"/>
    <x v="0"/>
    <n v="1.1200000000000001"/>
    <x v="4"/>
    <n v="139363"/>
    <n v="139080"/>
    <n v="0"/>
    <s v="2014,05,0722:46:34"/>
    <n v="139080"/>
    <x v="2"/>
    <n v="0"/>
    <n v="-10.62"/>
    <n v="-316.95999999999998"/>
    <n v="-327.58"/>
  </r>
  <r>
    <m/>
    <m/>
    <x v="1"/>
    <m/>
    <x v="1"/>
    <m/>
    <m/>
    <m/>
    <m/>
    <n v="8855"/>
    <x v="1"/>
    <m/>
    <m/>
    <m/>
    <n v="0"/>
  </r>
  <r>
    <n v="21224099"/>
    <s v="2014,05,0714:59:37"/>
    <x v="0"/>
    <n v="1.22"/>
    <x v="3"/>
    <n v="109082"/>
    <n v="108810"/>
    <n v="0"/>
    <s v="2014,05,0806:08:37"/>
    <n v="108810"/>
    <x v="0"/>
    <n v="0"/>
    <n v="-22.14"/>
    <n v="-304.97000000000003"/>
    <n v="-327.11"/>
  </r>
  <r>
    <m/>
    <m/>
    <x v="1"/>
    <m/>
    <x v="1"/>
    <m/>
    <m/>
    <m/>
    <m/>
    <n v="8855"/>
    <x v="1"/>
    <m/>
    <m/>
    <m/>
    <n v="0"/>
  </r>
  <r>
    <n v="21223561"/>
    <s v="2014,05,0714:06:38"/>
    <x v="0"/>
    <n v="1.32"/>
    <x v="5"/>
    <n v="0.87570999999999999"/>
    <n v="0.87480000000000002"/>
    <n v="0"/>
    <s v="2014,05,0808:05:51"/>
    <n v="0.87480000000000002"/>
    <x v="0"/>
    <n v="0"/>
    <n v="-5.41"/>
    <n v="-137.31"/>
    <n v="-142.72"/>
  </r>
  <r>
    <m/>
    <m/>
    <x v="1"/>
    <m/>
    <x v="1"/>
    <m/>
    <m/>
    <m/>
    <m/>
    <n v="8855"/>
    <x v="1"/>
    <m/>
    <m/>
    <m/>
    <n v="0"/>
  </r>
  <r>
    <n v="21226546"/>
    <s v="2014,05,0719:51:35"/>
    <x v="2"/>
    <n v="1.28"/>
    <x v="2"/>
    <n v="169511"/>
    <n v="169730"/>
    <n v="0"/>
    <s v="2014,05,0810:45:24"/>
    <n v="169730"/>
    <x v="0"/>
    <n v="0"/>
    <n v="-17.45"/>
    <n v="-280.32"/>
    <n v="-297.77"/>
  </r>
  <r>
    <m/>
    <m/>
    <x v="1"/>
    <m/>
    <x v="1"/>
    <m/>
    <m/>
    <m/>
    <m/>
    <n v="8855"/>
    <x v="1"/>
    <m/>
    <m/>
    <m/>
    <n v="0"/>
  </r>
  <r>
    <n v="21231399"/>
    <s v="2014,05,0808:13:39"/>
    <x v="0"/>
    <n v="1.78"/>
    <x v="0"/>
    <n v="0.82164999999999999"/>
    <n v="0.82120000000000004"/>
    <n v="0"/>
    <s v="2014,05,0811:38:33"/>
    <n v="0.82120000000000004"/>
    <x v="0"/>
    <n v="0"/>
    <n v="0"/>
    <n v="-135.87"/>
    <n v="-135.87"/>
  </r>
  <r>
    <m/>
    <m/>
    <x v="1"/>
    <m/>
    <x v="1"/>
    <m/>
    <m/>
    <m/>
    <m/>
    <n v="8855"/>
    <x v="1"/>
    <m/>
    <m/>
    <m/>
    <n v="0"/>
  </r>
  <r>
    <n v="21232819"/>
    <s v="2014,05,0810:45:26"/>
    <x v="0"/>
    <n v="1.68"/>
    <x v="2"/>
    <n v="169732"/>
    <n v="169530"/>
    <n v="0"/>
    <s v="2014,05,0811:54:50"/>
    <n v="169530"/>
    <x v="0"/>
    <n v="0"/>
    <n v="0"/>
    <n v="-339.36"/>
    <n v="-339.36"/>
  </r>
  <r>
    <m/>
    <m/>
    <x v="1"/>
    <m/>
    <x v="1"/>
    <m/>
    <m/>
    <m/>
    <m/>
    <n v="8855"/>
    <x v="1"/>
    <m/>
    <m/>
    <m/>
    <n v="0"/>
  </r>
  <r>
    <n v="21230772"/>
    <s v="2014,05,0807:19:23"/>
    <x v="0"/>
    <n v="1.54"/>
    <x v="4"/>
    <n v="139276"/>
    <n v="139200"/>
    <n v="0"/>
    <s v="2014,05,0812:54:35"/>
    <n v="139200"/>
    <x v="0"/>
    <n v="0"/>
    <n v="0"/>
    <n v="-117.04"/>
    <n v="-117.04"/>
  </r>
  <r>
    <m/>
    <m/>
    <x v="1"/>
    <m/>
    <x v="1"/>
    <m/>
    <m/>
    <m/>
    <m/>
    <n v="8855"/>
    <x v="1"/>
    <m/>
    <m/>
    <m/>
    <n v="0"/>
  </r>
  <r>
    <n v="21234045"/>
    <s v="2014,05,0812:32:49"/>
    <x v="0"/>
    <n v="1.5"/>
    <x v="4"/>
    <n v="139636"/>
    <n v="139200"/>
    <n v="0"/>
    <s v="2014,05,0812:54:35"/>
    <n v="139200"/>
    <x v="2"/>
    <n v="0"/>
    <n v="0"/>
    <n v="-654"/>
    <n v="-654"/>
  </r>
  <r>
    <m/>
    <m/>
    <x v="1"/>
    <m/>
    <x v="1"/>
    <m/>
    <m/>
    <m/>
    <m/>
    <n v="8855"/>
    <x v="1"/>
    <m/>
    <m/>
    <m/>
    <n v="0"/>
  </r>
  <r>
    <n v="21233423"/>
    <s v="2014,05,0811:45:40"/>
    <x v="0"/>
    <n v="1.51"/>
    <x v="4"/>
    <n v="139562"/>
    <n v="138680"/>
    <n v="0"/>
    <s v="2014,05,0814:00:46"/>
    <n v="138680"/>
    <x v="3"/>
    <n v="0"/>
    <n v="0"/>
    <n v="-1331.82"/>
    <n v="-1331.82"/>
  </r>
  <r>
    <m/>
    <m/>
    <x v="1"/>
    <m/>
    <x v="1"/>
    <m/>
    <m/>
    <m/>
    <m/>
    <n v="8855"/>
    <x v="1"/>
    <m/>
    <m/>
    <m/>
    <n v="0"/>
  </r>
  <r>
    <n v="21170158"/>
    <s v="2014,05,0108:33:34"/>
    <x v="0"/>
    <n v="0.87"/>
    <x v="2"/>
    <n v="169064"/>
    <n v="169250"/>
    <n v="0"/>
    <s v="2014,05,0817:04:00"/>
    <n v="169250"/>
    <x v="2"/>
    <n v="0"/>
    <n v="-6.73"/>
    <n v="161.82"/>
    <n v="155.09"/>
  </r>
  <r>
    <m/>
    <m/>
    <x v="1"/>
    <m/>
    <x v="1"/>
    <m/>
    <m/>
    <m/>
    <m/>
    <n v="8855"/>
    <x v="1"/>
    <m/>
    <m/>
    <m/>
    <n v="0"/>
  </r>
  <r>
    <n v="21170159"/>
    <s v="2014,05,0108:33:34"/>
    <x v="0"/>
    <n v="1.52"/>
    <x v="2"/>
    <n v="169064"/>
    <n v="168620"/>
    <n v="0"/>
    <s v="2014,05,0911:53:39"/>
    <n v="168620"/>
    <x v="3"/>
    <n v="0"/>
    <n v="-13.43"/>
    <n v="-674.88"/>
    <n v="-688.31"/>
  </r>
  <r>
    <m/>
    <m/>
    <x v="1"/>
    <m/>
    <x v="1"/>
    <m/>
    <m/>
    <m/>
    <m/>
    <n v="8855"/>
    <x v="1"/>
    <m/>
    <m/>
    <m/>
    <n v="0"/>
  </r>
  <r>
    <n v="21214162"/>
    <s v="2014,05,0616:07:00"/>
    <x v="2"/>
    <n v="1.33"/>
    <x v="3"/>
    <n v="108843"/>
    <n v="108630"/>
    <n v="0"/>
    <s v="2014,05,0912:30:01"/>
    <n v="108630"/>
    <x v="2"/>
    <n v="0"/>
    <n v="-5.59"/>
    <n v="260.77999999999997"/>
    <n v="255.18999999999997"/>
  </r>
  <r>
    <m/>
    <m/>
    <x v="1"/>
    <m/>
    <x v="1"/>
    <m/>
    <m/>
    <m/>
    <m/>
    <n v="8855"/>
    <x v="1"/>
    <m/>
    <m/>
    <m/>
    <n v="0"/>
  </r>
  <r>
    <n v="21238253"/>
    <s v="2014,05,0815:59:36"/>
    <x v="2"/>
    <n v="1.07"/>
    <x v="3"/>
    <n v="108569"/>
    <n v="108630"/>
    <n v="0"/>
    <s v="2014,05,0912:30:01"/>
    <n v="108630"/>
    <x v="0"/>
    <n v="0"/>
    <n v="-0.9"/>
    <n v="-60.08"/>
    <n v="-60.98"/>
  </r>
  <r>
    <m/>
    <m/>
    <x v="1"/>
    <m/>
    <x v="1"/>
    <m/>
    <m/>
    <m/>
    <m/>
    <n v="8855"/>
    <x v="1"/>
    <m/>
    <m/>
    <m/>
    <n v="0"/>
  </r>
  <r>
    <n v="21235567"/>
    <s v="2014,05,0813:04:46"/>
    <x v="2"/>
    <n v="2.7"/>
    <x v="0"/>
    <n v="0.81984000000000001"/>
    <n v="0.81810000000000005"/>
    <n v="0"/>
    <s v="2014,05,0912:39:40"/>
    <n v="0.81810000000000005"/>
    <x v="0"/>
    <n v="0"/>
    <n v="-2.2999999999999998"/>
    <n v="791.59"/>
    <n v="789.29000000000008"/>
  </r>
  <r>
    <m/>
    <m/>
    <x v="1"/>
    <m/>
    <x v="1"/>
    <m/>
    <m/>
    <m/>
    <m/>
    <n v="8855"/>
    <x v="1"/>
    <m/>
    <m/>
    <m/>
    <n v="0"/>
  </r>
  <r>
    <n v="21246904"/>
    <s v="2014,05,0909:24:27"/>
    <x v="2"/>
    <n v="0.7"/>
    <x v="2"/>
    <n v="168993"/>
    <n v="169020"/>
    <n v="0"/>
    <s v="2014,05,1209:42:27"/>
    <n v="169020"/>
    <x v="0"/>
    <n v="0"/>
    <n v="-3.16"/>
    <n v="-18.899999999999999"/>
    <n v="-22.06"/>
  </r>
  <r>
    <m/>
    <m/>
    <x v="1"/>
    <m/>
    <x v="1"/>
    <m/>
    <m/>
    <m/>
    <m/>
    <n v="8855"/>
    <x v="1"/>
    <m/>
    <m/>
    <m/>
    <n v="0"/>
  </r>
  <r>
    <n v="21209126"/>
    <s v="2014,05,0609:38:23"/>
    <x v="0"/>
    <n v="1.17"/>
    <x v="6"/>
    <n v="0.93137000000000003"/>
    <n v="0.93540000000000001"/>
    <n v="0"/>
    <s v="2014,05,1300:18:05"/>
    <n v="0.93540000000000001"/>
    <x v="0"/>
    <n v="0"/>
    <n v="43.67"/>
    <n v="471.51"/>
    <n v="515.17999999999995"/>
  </r>
  <r>
    <m/>
    <m/>
    <x v="1"/>
    <m/>
    <x v="1"/>
    <m/>
    <m/>
    <m/>
    <m/>
    <n v="8855"/>
    <x v="1"/>
    <m/>
    <m/>
    <m/>
    <n v="0"/>
  </r>
  <r>
    <n v="21253879"/>
    <s v="2014,05,0918:14:34"/>
    <x v="2"/>
    <n v="1.57"/>
    <x v="0"/>
    <n v="0.81613999999999998"/>
    <n v="0.81669999999999998"/>
    <n v="0"/>
    <s v="2014,05,1307:50:31"/>
    <n v="0.81669999999999998"/>
    <x v="0"/>
    <n v="0"/>
    <n v="-2.66"/>
    <n v="-148.25"/>
    <n v="-150.91"/>
  </r>
  <r>
    <m/>
    <m/>
    <x v="1"/>
    <m/>
    <x v="1"/>
    <m/>
    <m/>
    <m/>
    <m/>
    <n v="8855"/>
    <x v="1"/>
    <m/>
    <m/>
    <m/>
    <n v="0"/>
  </r>
  <r>
    <n v="21268764"/>
    <s v="2014,05,1301:31:27"/>
    <x v="2"/>
    <n v="2.13"/>
    <x v="6"/>
    <n v="0.93503999999999998"/>
    <n v="0.93620000000000003"/>
    <n v="0"/>
    <s v="2014,05,1311:42:36"/>
    <n v="0.93620000000000003"/>
    <x v="0"/>
    <n v="0"/>
    <n v="0"/>
    <n v="-247.08"/>
    <n v="-247.08"/>
  </r>
  <r>
    <m/>
    <m/>
    <x v="1"/>
    <m/>
    <x v="1"/>
    <m/>
    <m/>
    <m/>
    <m/>
    <n v="8855"/>
    <x v="1"/>
    <m/>
    <m/>
    <m/>
    <n v="0"/>
  </r>
  <r>
    <n v="21271016"/>
    <s v="2014,05,1308:06:31"/>
    <x v="2"/>
    <n v="1.1299999999999999"/>
    <x v="2"/>
    <n v="168505"/>
    <n v="168320"/>
    <n v="0"/>
    <s v="2014,05,1322:33:01"/>
    <n v="168320"/>
    <x v="0"/>
    <n v="0"/>
    <n v="-5.0999999999999996"/>
    <n v="209.05"/>
    <n v="203.95000000000002"/>
  </r>
  <r>
    <m/>
    <m/>
    <x v="1"/>
    <m/>
    <x v="1"/>
    <m/>
    <m/>
    <m/>
    <m/>
    <n v="8855"/>
    <x v="1"/>
    <m/>
    <m/>
    <m/>
    <n v="0"/>
  </r>
  <r>
    <n v="21283357"/>
    <s v="2014,05,1407:13:27"/>
    <x v="0"/>
    <n v="1.22"/>
    <x v="3"/>
    <n v="109225"/>
    <n v="108970"/>
    <n v="0"/>
    <s v="2014,05,1408:52:51"/>
    <n v="108970"/>
    <x v="0"/>
    <n v="0"/>
    <n v="0"/>
    <n v="-285.49"/>
    <n v="-285.49"/>
  </r>
  <r>
    <m/>
    <m/>
    <x v="1"/>
    <m/>
    <x v="1"/>
    <m/>
    <m/>
    <m/>
    <m/>
    <n v="8855"/>
    <x v="1"/>
    <m/>
    <m/>
    <m/>
    <n v="0"/>
  </r>
  <r>
    <n v="21246284"/>
    <s v="2014,05,0908:35:42"/>
    <x v="2"/>
    <n v="1.07"/>
    <x v="4"/>
    <n v="138192"/>
    <n v="137570"/>
    <n v="0"/>
    <s v="2014,05,1507:53:31"/>
    <n v="136717"/>
    <x v="0"/>
    <n v="0"/>
    <n v="-14.37"/>
    <n v="1578.25"/>
    <n v="1563.88"/>
  </r>
  <r>
    <m/>
    <m/>
    <x v="1"/>
    <m/>
    <x v="1"/>
    <m/>
    <m/>
    <m/>
    <m/>
    <n v="8855"/>
    <x v="1"/>
    <m/>
    <m/>
    <m/>
    <n v="0"/>
  </r>
  <r>
    <n v="21209623"/>
    <s v="2014,05,0610:47:29"/>
    <x v="0"/>
    <n v="1.3"/>
    <x v="6"/>
    <n v="0.93223999999999996"/>
    <n v="0.93579999999999997"/>
    <n v="0"/>
    <s v="2014,05,1509:56:29"/>
    <n v="0.93579999999999997"/>
    <x v="2"/>
    <n v="0"/>
    <n v="76.31"/>
    <n v="462.8"/>
    <n v="539.11"/>
  </r>
  <r>
    <m/>
    <m/>
    <x v="1"/>
    <m/>
    <x v="1"/>
    <m/>
    <m/>
    <m/>
    <m/>
    <n v="8855"/>
    <x v="1"/>
    <m/>
    <m/>
    <m/>
    <n v="0"/>
  </r>
  <r>
    <n v="21286193"/>
    <s v="2014,05,1411:09:22"/>
    <x v="2"/>
    <n v="0.6"/>
    <x v="2"/>
    <n v="167654"/>
    <n v="167750"/>
    <n v="0"/>
    <s v="2014,05,1513:06:08"/>
    <n v="167750"/>
    <x v="0"/>
    <n v="0"/>
    <n v="-8.09"/>
    <n v="-57.6"/>
    <n v="-65.69"/>
  </r>
  <r>
    <m/>
    <m/>
    <x v="1"/>
    <m/>
    <x v="1"/>
    <m/>
    <m/>
    <m/>
    <m/>
    <n v="8855"/>
    <x v="1"/>
    <m/>
    <m/>
    <m/>
    <n v="0"/>
  </r>
  <r>
    <n v="21246821"/>
    <s v="2014,05,0909:22:33"/>
    <x v="0"/>
    <n v="1.1499999999999999"/>
    <x v="5"/>
    <n v="0.88288"/>
    <n v="0.8921"/>
    <n v="0"/>
    <s v="2014,05,1514:07:24"/>
    <n v="0.8921"/>
    <x v="0"/>
    <n v="0"/>
    <n v="-9.42"/>
    <n v="1188.54"/>
    <n v="1179.1199999999999"/>
  </r>
  <r>
    <m/>
    <m/>
    <x v="1"/>
    <m/>
    <x v="1"/>
    <m/>
    <m/>
    <m/>
    <m/>
    <n v="8855"/>
    <x v="1"/>
    <m/>
    <m/>
    <m/>
    <n v="0"/>
  </r>
  <r>
    <n v="21295817"/>
    <s v="2014,05,1507:09:37"/>
    <x v="0"/>
    <n v="1.23"/>
    <x v="5"/>
    <n v="0.89124999999999999"/>
    <n v="0.8921"/>
    <n v="0"/>
    <s v="2014,05,1514:07:24"/>
    <n v="0.8921"/>
    <x v="2"/>
    <n v="0"/>
    <n v="0"/>
    <n v="117.2"/>
    <n v="117.2"/>
  </r>
  <r>
    <m/>
    <m/>
    <x v="1"/>
    <m/>
    <x v="1"/>
    <m/>
    <m/>
    <m/>
    <m/>
    <n v="8855"/>
    <x v="1"/>
    <m/>
    <m/>
    <m/>
    <n v="0"/>
  </r>
  <r>
    <n v="21278124"/>
    <s v="2014,05,1316:16:57"/>
    <x v="2"/>
    <n v="0.78"/>
    <x v="4"/>
    <n v="136953"/>
    <n v="136840"/>
    <n v="0"/>
    <s v="2014,05,1514:09:02"/>
    <n v="136840"/>
    <x v="2"/>
    <n v="0"/>
    <n v="-6.97"/>
    <n v="88.14"/>
    <n v="81.17"/>
  </r>
  <r>
    <m/>
    <m/>
    <x v="1"/>
    <m/>
    <x v="1"/>
    <m/>
    <m/>
    <m/>
    <m/>
    <n v="8855"/>
    <x v="1"/>
    <m/>
    <m/>
    <m/>
    <n v="0"/>
  </r>
  <r>
    <n v="21297201"/>
    <s v="2014,05,1508:15:45"/>
    <x v="2"/>
    <n v="0.53"/>
    <x v="4"/>
    <n v="136591"/>
    <n v="137210"/>
    <n v="0"/>
    <s v="2014,05,1515:12:55"/>
    <n v="137210"/>
    <x v="0"/>
    <n v="0"/>
    <n v="0"/>
    <n v="-328.07"/>
    <n v="-328.07"/>
  </r>
  <r>
    <m/>
    <m/>
    <x v="1"/>
    <m/>
    <x v="1"/>
    <m/>
    <m/>
    <m/>
    <m/>
    <n v="8855"/>
    <x v="1"/>
    <m/>
    <m/>
    <m/>
    <n v="0"/>
  </r>
  <r>
    <n v="21313467"/>
    <s v="2014,05,1612:36:24"/>
    <x v="0"/>
    <n v="1.5"/>
    <x v="5"/>
    <n v="0.89249000000000001"/>
    <n v="0.89019999999999999"/>
    <n v="0"/>
    <s v="2014,05,1613:27:53"/>
    <n v="0.89019999999999999"/>
    <x v="0"/>
    <n v="0"/>
    <n v="0"/>
    <n v="-385.87"/>
    <n v="-385.87"/>
  </r>
  <r>
    <m/>
    <m/>
    <x v="1"/>
    <m/>
    <x v="1"/>
    <m/>
    <m/>
    <m/>
    <m/>
    <n v="8855"/>
    <x v="1"/>
    <m/>
    <m/>
    <m/>
    <n v="0"/>
  </r>
  <r>
    <n v="21320438"/>
    <s v="2014,05,1904:35:43"/>
    <x v="2"/>
    <n v="2"/>
    <x v="6"/>
    <n v="0.93530999999999997"/>
    <n v="0.93610000000000004"/>
    <n v="0"/>
    <s v="2014,05,1907:53:42"/>
    <n v="0.93610000000000004"/>
    <x v="0"/>
    <n v="0"/>
    <n v="0"/>
    <n v="-158"/>
    <n v="-158"/>
  </r>
  <r>
    <m/>
    <m/>
    <x v="1"/>
    <m/>
    <x v="1"/>
    <m/>
    <m/>
    <m/>
    <m/>
    <n v="8855"/>
    <x v="1"/>
    <m/>
    <m/>
    <m/>
    <n v="0"/>
  </r>
  <r>
    <n v="21229219"/>
    <s v="2014,05,0803:01:21"/>
    <x v="0"/>
    <n v="1.28"/>
    <x v="6"/>
    <n v="0.93733999999999995"/>
    <n v="0.92659999999999998"/>
    <n v="0"/>
    <s v="2014,05,2006:42:53"/>
    <n v="0.92659999999999998"/>
    <x v="3"/>
    <n v="0"/>
    <n v="68.349999999999994"/>
    <n v="-1374.72"/>
    <n v="-1306.3700000000001"/>
  </r>
  <r>
    <m/>
    <m/>
    <x v="1"/>
    <m/>
    <x v="1"/>
    <m/>
    <m/>
    <m/>
    <m/>
    <n v="8855"/>
    <x v="1"/>
    <m/>
    <m/>
    <m/>
    <n v="0"/>
  </r>
  <r>
    <n v="21333717"/>
    <s v="2014,05,2007:10:29"/>
    <x v="0"/>
    <n v="1.56"/>
    <x v="5"/>
    <n v="0.89378999999999997"/>
    <n v="0.89170000000000005"/>
    <n v="0"/>
    <s v="2014,05,2010:05:32"/>
    <n v="0.89170000000000005"/>
    <x v="0"/>
    <n v="0"/>
    <n v="0"/>
    <n v="-365.64"/>
    <n v="-365.64"/>
  </r>
  <r>
    <m/>
    <m/>
    <x v="1"/>
    <m/>
    <x v="1"/>
    <m/>
    <m/>
    <m/>
    <m/>
    <n v="8855"/>
    <x v="1"/>
    <m/>
    <m/>
    <m/>
    <n v="0"/>
  </r>
  <r>
    <n v="21328071"/>
    <s v="2014,05,1915:59:59"/>
    <x v="2"/>
    <n v="1.61"/>
    <x v="6"/>
    <n v="0.93400000000000005"/>
    <n v="0.93259999999999998"/>
    <n v="0"/>
    <s v="2014,05,2022:58:58"/>
    <n v="0.92400000000000004"/>
    <x v="0"/>
    <n v="0"/>
    <n v="-27.03"/>
    <n v="1610"/>
    <n v="1582.97"/>
  </r>
  <r>
    <m/>
    <m/>
    <x v="1"/>
    <m/>
    <x v="1"/>
    <m/>
    <m/>
    <m/>
    <m/>
    <n v="8855"/>
    <x v="1"/>
    <m/>
    <m/>
    <m/>
    <n v="0"/>
  </r>
  <r>
    <n v="21235846"/>
    <s v="2014,05,0813:15:40"/>
    <x v="2"/>
    <n v="2.23"/>
    <x v="0"/>
    <n v="0.81903000000000004"/>
    <n v="0.81599999999999995"/>
    <n v="0"/>
    <s v="2014,05,2111:01:24"/>
    <n v="0.81006"/>
    <x v="2"/>
    <n v="0"/>
    <n v="-20.73"/>
    <n v="3378.82"/>
    <n v="3358.09"/>
  </r>
  <r>
    <m/>
    <m/>
    <x v="1"/>
    <m/>
    <x v="1"/>
    <m/>
    <m/>
    <m/>
    <m/>
    <n v="8855"/>
    <x v="1"/>
    <m/>
    <m/>
    <m/>
    <n v="0"/>
  </r>
  <r>
    <n v="21333692"/>
    <s v="2014,05,2007:07:56"/>
    <x v="2"/>
    <n v="2.0499999999999998"/>
    <x v="0"/>
    <n v="0.81433"/>
    <n v="0.81430000000000002"/>
    <n v="0"/>
    <s v="2014,05,2112:55:23"/>
    <n v="0.80893000000000004"/>
    <x v="0"/>
    <n v="0"/>
    <n v="-1.73"/>
    <n v="1869.89"/>
    <n v="1868.16"/>
  </r>
  <r>
    <n v="21348283"/>
    <s v="2014.05.21 11:01:27"/>
    <x v="2"/>
    <s v="1.03"/>
    <x v="4"/>
    <n v="136752"/>
    <n v="136840"/>
    <s v="0.00000"/>
    <s v="2014.05.21 18:39:34"/>
    <n v="136840"/>
    <x v="0"/>
    <s v="0.00"/>
    <n v="0"/>
    <n v="-90.64"/>
    <n v="-90.64"/>
  </r>
  <r>
    <n v="21349270"/>
    <s v="2014.05.21 12:37:14"/>
    <x v="2"/>
    <s v="1.30"/>
    <x v="4"/>
    <n v="136670"/>
    <n v="136840"/>
    <s v="0.00000"/>
    <s v="2014.05.21 18:39:34"/>
    <n v="136840"/>
    <x v="2"/>
    <s v="0.00"/>
    <n v="0"/>
    <n v="-221"/>
    <n v="-221"/>
  </r>
  <r>
    <n v="21349967"/>
    <s v="2014.05.21 13:14:52"/>
    <x v="2"/>
    <s v="1.51"/>
    <x v="6"/>
    <s v="0.92113"/>
    <s v="0.92370"/>
    <s v="0.00000"/>
    <s v="2014.05.21 18:44:57"/>
    <s v="0.92370"/>
    <x v="0"/>
    <s v="0.00"/>
    <n v="0"/>
    <n v="-388.07"/>
    <n v="-388.07"/>
  </r>
  <r>
    <n v="21350931"/>
    <s v="2014.05.21 14:01:41"/>
    <x v="0"/>
    <s v="1.09"/>
    <x v="3"/>
    <n v="109424"/>
    <n v="109060"/>
    <s v="0.00000"/>
    <s v="2014.05.22 02:15:29"/>
    <n v="109060"/>
    <x v="0"/>
    <s v="0.00"/>
    <n v="-19.78"/>
    <n v="-363.8"/>
    <n v="-383.58000000000004"/>
  </r>
  <r>
    <n v="21352984"/>
    <s v="2014.05.21 17:11:05"/>
    <x v="0"/>
    <s v="2.29"/>
    <x v="5"/>
    <s v="0.89585"/>
    <s v="0.89250"/>
    <s v="0.00000"/>
    <s v="2014.05.22 08:37:27"/>
    <s v="0.89250"/>
    <x v="2"/>
    <s v="0.00"/>
    <n v="-9.3800000000000008"/>
    <n v="-859.55"/>
    <n v="-868.93"/>
  </r>
  <r>
    <n v="21334343"/>
    <s v="2014.05.20 08:06:47"/>
    <x v="0"/>
    <s v="0.72"/>
    <x v="2"/>
    <n v="168456"/>
    <n v="168500"/>
    <s v="0.00000"/>
    <s v="2014.05.22 14:29:44"/>
    <n v="168500"/>
    <x v="0"/>
    <s v="0.00"/>
    <n v="-3.17"/>
    <n v="31.68"/>
    <n v="28.50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4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Moeda" colHeaderCaption="Periodo">
  <location ref="A3:G8" firstHeaderRow="1" firstDataRow="2" firstDataCol="1" rowPageCount="1" colPageCount="1"/>
  <pivotFields count="15">
    <pivotField showAll="0"/>
    <pivotField showAll="0"/>
    <pivotField axis="axisRow" showAll="0">
      <items count="5">
        <item m="1" x="3"/>
        <item x="0"/>
        <item x="2"/>
        <item x="1"/>
        <item t="default"/>
      </items>
    </pivotField>
    <pivotField showAll="0"/>
    <pivotField axis="axisRow" showAll="0">
      <items count="8">
        <item sd="0" x="6"/>
        <item sd="0" x="0"/>
        <item sd="0" x="4"/>
        <item sd="0" x="2"/>
        <item sd="0" x="3"/>
        <item sd="0" x="5"/>
        <item h="1"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dataField="1" showAll="0"/>
    <pivotField dataField="1" showAll="0"/>
    <pivotField dataField="1" showAll="0" defaultSubtotal="0"/>
  </pivotFields>
  <rowFields count="2">
    <field x="4"/>
    <field x="2"/>
  </rowFields>
  <rowItems count="4">
    <i>
      <x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0" item="3" hier="-1"/>
  </pageFields>
  <dataFields count="6">
    <dataField name="Trades" fld="13" subtotal="count" baseField="0" baseItem="0"/>
    <dataField name="Total Swap" fld="12" baseField="0" baseItem="0" numFmtId="44"/>
    <dataField name="Total Profit" fld="13" baseField="0" baseItem="0" numFmtId="44"/>
    <dataField name="* Total" fld="14" baseField="0" baseItem="0" numFmtId="44"/>
    <dataField name="Média de Total" fld="14" subtotal="average" baseField="0" baseItem="0" numFmtId="44"/>
    <dataField name="DesvPad de Total" fld="14" subtotal="stdDev" baseField="0" baseItem="0" numFmtId="44"/>
  </dataFields>
  <formats count="6">
    <format dxfId="50">
      <pivotArea type="all" dataOnly="0" outline="0" fieldPosition="0"/>
    </format>
    <format dxfId="51">
      <pivotArea type="all" dataOnly="0" outline="0" fieldPosition="0"/>
    </format>
    <format dxfId="52">
      <pivotArea outline="0" fieldPosition="0">
        <references count="1">
          <reference field="4294967294" count="1">
            <x v="1"/>
          </reference>
        </references>
      </pivotArea>
    </format>
    <format dxfId="53">
      <pivotArea outline="0" fieldPosition="0">
        <references count="1">
          <reference field="4294967294" count="1">
            <x v="3"/>
          </reference>
        </references>
      </pivotArea>
    </format>
    <format dxfId="54">
      <pivotArea outline="0" fieldPosition="0">
        <references count="1">
          <reference field="4294967294" count="1">
            <x v="4"/>
          </reference>
        </references>
      </pivotArea>
    </format>
    <format dxfId="55">
      <pivotArea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K95" headerRowDxfId="415" dataDxfId="414" totalsRowDxfId="413">
  <autoFilter ref="A1:AK95">
    <filterColumn colId="36"/>
  </autoFilter>
  <sortState ref="A2:AJ89">
    <sortCondition ref="E1:E89"/>
  </sortState>
  <tableColumns count="37">
    <tableColumn id="19" name="ID" totalsRowFunction="max" dataDxfId="412" totalsRowDxfId="411"/>
    <tableColumn id="36" name="U" dataDxfId="410" totalsRowDxfId="409"/>
    <tableColumn id="2" name="ATIVO" dataDxfId="408" totalsRowDxfId="407"/>
    <tableColumn id="3" name="T" dataDxfId="406" totalsRowDxfId="405"/>
    <tableColumn id="4" name="DATA" dataDxfId="404" totalsRowDxfId="403"/>
    <tableColumn id="5" name="QTDE" dataDxfId="402" totalsRowDxfId="401"/>
    <tableColumn id="6" name="PREÇO" totalsRowFunction="custom" dataDxfId="400" totalsRowDxfId="399">
      <totalsRowFormula>NC[[#Totals],[ID]]*14.9</totalsRowFormula>
    </tableColumn>
    <tableColumn id="37" name="PARCIAL" dataDxfId="398" totalsRowDxfId="397"/>
    <tableColumn id="40" name="AJUSTE" dataDxfId="396" totalsRowDxfId="395"/>
    <tableColumn id="7" name="[D/N]" totalsRowFunction="custom" dataDxfId="394" totalsRowDxfId="393">
      <totalsRowFormula>NC[[#Totals],[LUCRO P/ OP]]+NC[[#Totals],[PREÇO]]</totalsRowFormula>
    </tableColumn>
    <tableColumn id="34" name="DATA DE LIQUIDAÇÃO" dataDxfId="392" totalsRowDxfId="391">
      <calculatedColumnFormula>WORKDAY(NC[[#This Row],[DATA]],1,0)</calculatedColumnFormula>
    </tableColumn>
    <tableColumn id="31" name="DATA BASE" dataDxfId="390" totalsRowDxfId="389">
      <calculatedColumnFormula>EOMONTH(NC[[#This Row],[DATA DE LIQUIDAÇÃO]],0)</calculatedColumnFormula>
    </tableColumn>
    <tableColumn id="21" name="PAR" dataDxfId="388" totalsRowDxfId="387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86" totalsRowDxfId="385">
      <calculatedColumnFormula>[QTDE]*[PREÇO]</calculatedColumnFormula>
    </tableColumn>
    <tableColumn id="9" name="VALOR LÍQUIDO DAS OPERAÇÕES" dataDxfId="384" totalsRowDxfId="383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82" totalsRowDxfId="381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80" totalsRowDxfId="379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78" totalsRowDxfId="377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76" totalsRowDxfId="375">
      <calculatedColumnFormula>SETUP!$E$3 * IF([PARCIAL] &gt; 0, [QTDE] / [PARCIAL], 1)</calculatedColumnFormula>
    </tableColumn>
    <tableColumn id="12" name="CORRETAGEM" dataDxfId="374" totalsRowDxfId="373">
      <calculatedColumnFormula>SUMPRODUCT(N([DATA]=NC[[#This Row],[DATA]]),N([ID]&lt;=NC[[#This Row],[ID]]), [CORR])</calculatedColumnFormula>
    </tableColumn>
    <tableColumn id="13" name="ISS" dataDxfId="372" totalsRowDxfId="371">
      <calculatedColumnFormula>TRUNC([CORRETAGEM]*SETUP!$F$3,2)</calculatedColumnFormula>
    </tableColumn>
    <tableColumn id="15" name="OUTRAS BOVESPA" dataDxfId="370" totalsRowDxfId="369">
      <calculatedColumnFormula>ROUND([CORRETAGEM]*SETUP!$G$3,2)</calculatedColumnFormula>
    </tableColumn>
    <tableColumn id="16" name="LÍQUIDO BASE" dataDxfId="368" totalsRowDxfId="367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366" totalsRowDxfId="365">
      <calculatedColumnFormula>IF(AND(['[D/N']]="D",    [T]="CV",    [LÍQUIDO BASE] &gt; 0),    TRUNC([LÍQUIDO BASE]*0.01, 2),    0)</calculatedColumnFormula>
    </tableColumn>
    <tableColumn id="35" name="LÍQUIDO" dataDxfId="364" totalsRowDxfId="363">
      <calculatedColumnFormula>IF([PREÇO] &gt; 0,    [LÍQUIDO BASE]-SUMPRODUCT(N([DATA]=NC[[#This Row],[DATA]]),    [IRRF FONTE]),    0)</calculatedColumnFormula>
    </tableColumn>
    <tableColumn id="17" name="VALOR OP" dataDxfId="362" totalsRowDxfId="361">
      <calculatedColumnFormula>[LÍQUIDO]-SUMPRODUCT(N([DATA]=NC[[#This Row],[DATA]]),N([ID]=(NC[[#This Row],[ID]]-1)),[LÍQUIDO])</calculatedColumnFormula>
    </tableColumn>
    <tableColumn id="18" name="MEDIO P/ OP" dataDxfId="360" totalsRowDxfId="359">
      <calculatedColumnFormula>IF([T] = "VC", ABS([VALOR OP]) / [QTDE], [VALOR OP]/[QTDE])</calculatedColumnFormula>
    </tableColumn>
    <tableColumn id="20" name="IRRF" totalsRowFunction="sum" dataDxfId="358" totalsRowDxfId="357">
      <calculatedColumnFormula>TRUNC(IF(OR([T]="CV",[T]="VV"),     N2*SETUP!$H$3,     0),2)</calculatedColumnFormula>
    </tableColumn>
    <tableColumn id="24" name="SALDO" dataDxfId="356" totalsRowDxfId="355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354" totalsRowDxfId="353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352" totalsRowDxfId="351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350" totalsRowDxfId="349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348" totalsRowDxfId="347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346" totalsRowDxfId="345">
      <calculatedColumnFormula>IF([U] = "U", SUMPRODUCT(N([ID]&lt;=NC[[#This Row],[ID]]),N([DATA BASE]=NC[[#This Row],[DATA BASE]]), N(['[D/N']] = "N"),    [LUCRO P/ OP]), 0)</calculatedColumnFormula>
    </tableColumn>
    <tableColumn id="39" name="LUCRO [D]" dataDxfId="344" totalsRowDxfId="343">
      <calculatedColumnFormula>IF([U] = "U", SUMPRODUCT(N([DATA BASE]=NC[[#This Row],[DATA BASE]]), N(['[D/N']] = "D"),    [LUCRO P/ OP]), 0)</calculatedColumnFormula>
    </tableColumn>
    <tableColumn id="30" name="IRRF DT" dataDxfId="342" totalsRowDxfId="341">
      <calculatedColumnFormula>IF([U] = "U", SUMPRODUCT(N([DATA BASE]=NC[[#This Row],[DATA BASE]]), N(['[D/N']] = "D"),    [IRRF FONTE]), 0)</calculatedColumnFormula>
    </tableColumn>
    <tableColumn id="14" name="Colunas1" dataDxfId="340" totalsRowDxfId="339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338" dataDxfId="337" totalsRowDxfId="336">
  <autoFilter ref="A1:AK61"/>
  <sortState ref="A2:AK61">
    <sortCondition ref="E1:E61"/>
  </sortState>
  <tableColumns count="37">
    <tableColumn id="19" name="ID" totalsRowFunction="max" dataDxfId="335" totalsRowDxfId="334"/>
    <tableColumn id="36" name="U" dataDxfId="333" totalsRowDxfId="332"/>
    <tableColumn id="2" name="ATIVO" dataDxfId="331" totalsRowDxfId="330"/>
    <tableColumn id="3" name="T" dataDxfId="329" totalsRowDxfId="328"/>
    <tableColumn id="4" name="DATA" dataDxfId="327" totalsRowDxfId="326"/>
    <tableColumn id="5" name="QTDE" dataDxfId="325" totalsRowDxfId="324"/>
    <tableColumn id="6" name="PREÇO" dataDxfId="323" totalsRowDxfId="322"/>
    <tableColumn id="37" name="PARCIAL" dataDxfId="321" totalsRowDxfId="320"/>
    <tableColumn id="40" name="AJUSTE" dataDxfId="319" totalsRowDxfId="318"/>
    <tableColumn id="7" name="[D/N]" dataDxfId="317" totalsRowDxfId="316"/>
    <tableColumn id="34" name="DATA DE LIQUIDAÇÃO" dataDxfId="315" totalsRowDxfId="314">
      <calculatedColumnFormula>WORKDAY(NOTAS_80[[#This Row],[DATA]],1,0)</calculatedColumnFormula>
    </tableColumn>
    <tableColumn id="31" name="DATA BASE" dataDxfId="313" totalsRowDxfId="312">
      <calculatedColumnFormula>EOMONTH(NOTAS_80[[#This Row],[DATA DE LIQUIDAÇÃO]],0)</calculatedColumnFormula>
    </tableColumn>
    <tableColumn id="21" name="PAR" dataDxfId="311" totalsRowDxfId="310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309" totalsRowDxfId="308">
      <calculatedColumnFormula>[QTDE]*[PREÇO]</calculatedColumnFormula>
    </tableColumn>
    <tableColumn id="9" name="VALOR LÍQUIDO DAS OPERAÇÕES" dataDxfId="307" totalsRowDxfId="306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305" totalsRowDxfId="304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303" totalsRowDxfId="302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301" totalsRowDxfId="300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99" totalsRowDxfId="298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97" totalsRowDxfId="296">
      <calculatedColumnFormula>TRUNC([CORR BOV] * 20% * IF([PARCIAL] &gt; 0, [QTDE] / [PARCIAL], 1),2)</calculatedColumnFormula>
    </tableColumn>
    <tableColumn id="12" name="CORRETAGEM" dataDxfId="295" totalsRowDxfId="294">
      <calculatedColumnFormula>SUMPRODUCT(N([DATA]=NOTAS_80[[#This Row],[DATA]]),N([ID]&lt;=NOTAS_80[[#This Row],[ID]]), [CORR])</calculatedColumnFormula>
    </tableColumn>
    <tableColumn id="13" name="ISS" dataDxfId="293" totalsRowDxfId="292">
      <calculatedColumnFormula>TRUNC([CORRETAGEM]*SETUP!$F$3,2)</calculatedColumnFormula>
    </tableColumn>
    <tableColumn id="15" name="OUTRAS BOVESPA" dataDxfId="291" totalsRowDxfId="290">
      <calculatedColumnFormula>ROUND([CORRETAGEM]*SETUP!$G$3,2)</calculatedColumnFormula>
    </tableColumn>
    <tableColumn id="16" name="LÍQUIDO BASE" dataDxfId="289" totalsRowDxfId="288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87" totalsRowDxfId="286">
      <calculatedColumnFormula>IF(AND(['[D/N']]="D",    [T]="CV",    [LÍQUIDO BASE] &gt; 0),    TRUNC([LÍQUIDO BASE]*0.01, 2),    0)</calculatedColumnFormula>
    </tableColumn>
    <tableColumn id="35" name="LÍQUIDO" dataDxfId="285" totalsRowDxfId="284">
      <calculatedColumnFormula>IF([PREÇO] &gt; 0,    [LÍQUIDO BASE]-SUMPRODUCT(N([DATA]=NOTAS_80[[#This Row],[DATA]]),    [IRRF FONTE]),    0)</calculatedColumnFormula>
    </tableColumn>
    <tableColumn id="17" name="VALOR OP" dataDxfId="283" totalsRowDxfId="282">
      <calculatedColumnFormula>[LÍQUIDO]-SUMPRODUCT(N([DATA]=NOTAS_80[[#This Row],[DATA]]),N([ID]=(NOTAS_80[[#This Row],[ID]]-1)),[LÍQUIDO])</calculatedColumnFormula>
    </tableColumn>
    <tableColumn id="18" name="MEDIO P/ OP" dataDxfId="281" totalsRowDxfId="280">
      <calculatedColumnFormula>IF([T] = "VC", ABS([VALOR OP]) / [QTDE], [VALOR OP]/[QTDE])</calculatedColumnFormula>
    </tableColumn>
    <tableColumn id="20" name="IRRF" totalsRowFunction="sum" dataDxfId="279" totalsRowDxfId="278">
      <calculatedColumnFormula>TRUNC(IF(OR([T]="CV",[T]="VV"),     N2*SETUP!$H$3,     0),2)</calculatedColumnFormula>
    </tableColumn>
    <tableColumn id="24" name="SALDO" dataDxfId="277" totalsRowDxfId="276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75" totalsRowDxfId="274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73" totalsRowDxfId="272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71" totalsRowDxfId="270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69" totalsRowDxfId="268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67" totalsRowDxfId="266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65" totalsRowDxfId="264">
      <calculatedColumnFormula>IF([U] = "U", SUMPRODUCT(N([DATA BASE]=NOTAS_80[[#This Row],[DATA BASE]]), N(['[D/N']] = "D"),    [LUCRO P/ OP]), 0)</calculatedColumnFormula>
    </tableColumn>
    <tableColumn id="30" name="IRRF DT" dataDxfId="263" totalsRowDxfId="262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61" dataDxfId="260">
  <autoFilter ref="A1:N5"/>
  <tableColumns count="14">
    <tableColumn id="1" name="DATA" totalsRowLabel="Total" dataDxfId="259" totalsRowDxfId="258"/>
    <tableColumn id="2" name="LUCRO [N]" dataDxfId="257" totalsRowDxfId="256"/>
    <tableColumn id="3" name="DEDUÇÃO [N]" dataDxfId="255" totalsRowDxfId="254"/>
    <tableColumn id="8" name="IRRF [N]" dataDxfId="253" totalsRowDxfId="252"/>
    <tableColumn id="4" name="LUCRO [D]" dataDxfId="251" totalsRowDxfId="250"/>
    <tableColumn id="5" name="DEDUÇÃO [D]" dataDxfId="249" totalsRowDxfId="248"/>
    <tableColumn id="9" name="IRRF [D]" dataDxfId="247" totalsRowDxfId="246"/>
    <tableColumn id="6" name="ACC [N]" dataDxfId="245" totalsRowDxfId="244">
      <calculatedColumnFormula>IF([LUCRO '[N']] + [DEDUÇÃO '[N']] &gt; 0, 0, [LUCRO '[N']] + [DEDUÇÃO '[N']])</calculatedColumnFormula>
    </tableColumn>
    <tableColumn id="12" name="ACC [D]" dataDxfId="243" totalsRowDxfId="242">
      <calculatedColumnFormula>IF([LUCRO '[D']] + [DEDUÇÃO '[D']] &gt; 0, 0, [LUCRO '[D']] + [DEDUÇÃO '[D']])</calculatedColumnFormula>
    </tableColumn>
    <tableColumn id="7" name="IR DEVIDO [N]" dataDxfId="241" totalsRowDxfId="240">
      <calculatedColumnFormula>IF([ACC '[N']] = 0, ROUND(([LUCRO '[N']] + [DEDUÇÃO '[N']]) * 15%, 2) - [IRRF '[N']], 0)</calculatedColumnFormula>
    </tableColumn>
    <tableColumn id="10" name="IR DEVIDO [D]" dataDxfId="239" totalsRowDxfId="238">
      <calculatedColumnFormula>IF([ACC '[D']] = 0, ROUND(([LUCRO '[D']] + [DEDUÇÃO '[D']]) * 20%, 2) - [IRRF '[D']], 0)</calculatedColumnFormula>
    </tableColumn>
    <tableColumn id="14" name="IRRF" dataDxfId="237" totalsRowDxfId="236">
      <calculatedColumnFormula>[IRRF '[N']] + [IRRF '[D']]</calculatedColumnFormula>
    </tableColumn>
    <tableColumn id="11" name="IR DEVIDO" dataDxfId="235" totalsRowDxfId="234">
      <calculatedColumnFormula>[IR DEVIDO '[N']] + [IR DEVIDO '[D']]</calculatedColumnFormula>
    </tableColumn>
    <tableColumn id="13" name="LUCRO TOTAL" totalsRowFunction="sum" dataDxfId="233" totalsRowDxfId="232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231" dataDxfId="230">
  <autoFilter ref="A1:K5"/>
  <sortState ref="A2:K4">
    <sortCondition ref="C1:C4"/>
  </sortState>
  <tableColumns count="11">
    <tableColumn id="1" name="PAPEL" totalsRowLabel="Total" dataDxfId="229" totalsRowDxfId="228"/>
    <tableColumn id="10" name="APLICAÇÃO" dataDxfId="227" totalsRowDxfId="226">
      <calculatedColumnFormula>1000</calculatedColumnFormula>
    </tableColumn>
    <tableColumn id="2" name="EXERCÍCIO" dataDxfId="225" totalsRowDxfId="224"/>
    <tableColumn id="3" name="PREÇO OPÇÃO" dataDxfId="223" totalsRowDxfId="222"/>
    <tableColumn id="4" name="PREÇO AÇÃO" dataDxfId="221" totalsRowDxfId="220"/>
    <tableColumn id="11" name="QTDE TMP" dataDxfId="219" totalsRowDxfId="218">
      <calculatedColumnFormula>ROUNDDOWN([APLICAÇÃO]/[PREÇO OPÇÃO], 0)</calculatedColumnFormula>
    </tableColumn>
    <tableColumn id="14" name="QTDE" dataDxfId="217" totalsRowDxfId="216">
      <calculatedColumnFormula>[QTDE TMP] - MOD([QTDE TMP], 100)</calculatedColumnFormula>
    </tableColumn>
    <tableColumn id="5" name="TARGET 100%" dataDxfId="215" totalsRowDxfId="214" dataCellStyle="Moeda">
      <calculatedColumnFormula>[EXERCÍCIO] + ([PREÇO OPÇÃO] * 2)</calculatedColumnFormula>
    </tableColumn>
    <tableColumn id="6" name="ALTA 100%" dataDxfId="213" totalsRowDxfId="212">
      <calculatedColumnFormula>[TARGET 100%] / [PREÇO AÇÃO] - 1</calculatedColumnFormula>
    </tableColumn>
    <tableColumn id="12" name="LUCRO* 100%" dataDxfId="211" totalsRowDxfId="210">
      <calculatedColumnFormula>[PREÇO OPÇÃO] * [QTDE]</calculatedColumnFormula>
    </tableColumn>
    <tableColumn id="7" name="GORDURA" dataDxfId="209" totalsRowDxfId="208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207" dataDxfId="206">
  <autoFilter ref="A1:P4"/>
  <tableColumns count="16">
    <tableColumn id="1" name="PAPEL" totalsRowLabel="Total" dataDxfId="205" totalsRowDxfId="204"/>
    <tableColumn id="10" name="RISCO" dataDxfId="203" totalsRowDxfId="202"/>
    <tableColumn id="20" name="PREÇO AÇÃO" dataDxfId="201" totalsRowDxfId="200"/>
    <tableColumn id="7" name="EXERC. VENDA" dataDxfId="199" totalsRowDxfId="198"/>
    <tableColumn id="8" name="PREÇO VENDA" dataDxfId="197" totalsRowDxfId="196"/>
    <tableColumn id="2" name="EXERC. COMPRA" dataDxfId="195" totalsRowDxfId="194"/>
    <tableColumn id="3" name="PREÇO COMPRA" dataDxfId="193" totalsRowDxfId="192"/>
    <tableColumn id="4" name="VOLUME" dataDxfId="191" totalsRowDxfId="190">
      <calculatedColumnFormula>([QTDE] * [PREÇO COMPRA]) + ([QTDE] * [PREÇO VENDA])</calculatedColumnFormula>
    </tableColumn>
    <tableColumn id="18" name="LUCRO P/ OPÇÃO" dataDxfId="189" totalsRowDxfId="188">
      <calculatedColumnFormula>[PREÇO VENDA]-[PREÇO COMPRA]</calculatedColumnFormula>
    </tableColumn>
    <tableColumn id="19" name="PERDA P/ OPÇÃO" dataDxfId="187" totalsRowDxfId="186">
      <calculatedColumnFormula>(0.01 - [PREÇO COMPRA]) + ([PREÇO VENDA] - ([EXERC. COMPRA]-[EXERC. VENDA]+0.01))</calculatedColumnFormula>
    </tableColumn>
    <tableColumn id="11" name="QTDE TMP" dataDxfId="185" totalsRowDxfId="184">
      <calculatedColumnFormula>ROUNDDOWN([RISCO]/ABS([PERDA P/ OPÇÃO]), 0)</calculatedColumnFormula>
    </tableColumn>
    <tableColumn id="14" name="QTDE" dataDxfId="183" totalsRowDxfId="182">
      <calculatedColumnFormula>[QTDE TMP] - MOD([QTDE TMP], 100)</calculatedColumnFormula>
    </tableColumn>
    <tableColumn id="5" name="LUCRO*" dataDxfId="181" totalsRowDxfId="180">
      <calculatedColumnFormula>([QTDE]*[LUCRO P/ OPÇÃO])-32</calculatedColumnFormula>
    </tableColumn>
    <tableColumn id="6" name="PERDA*" dataDxfId="179" totalsRowDxfId="178">
      <calculatedColumnFormula>[QTDE]*[PERDA P/ OPÇÃO]-32</calculatedColumnFormula>
    </tableColumn>
    <tableColumn id="21" name="% QUEDA" dataDxfId="177" totalsRowDxfId="176">
      <calculatedColumnFormula>[EXERC. VENDA]/[PREÇO AÇÃO]-1</calculatedColumnFormula>
    </tableColumn>
    <tableColumn id="22" name="RISCO : 1" dataDxfId="175" totalsRowDxfId="174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3" headerRowDxfId="173" dataDxfId="172">
  <autoFilter ref="A1:O3"/>
  <tableColumns count="15">
    <tableColumn id="1" name="PAPEL" totalsRowLabel="Total" dataDxfId="171" totalsRowDxfId="170"/>
    <tableColumn id="10" name="RISCO" dataDxfId="169" totalsRowDxfId="168"/>
    <tableColumn id="20" name="PREÇO AÇÃO" dataDxfId="167" totalsRowDxfId="166"/>
    <tableColumn id="7" name="EX. VENDA" dataDxfId="165" totalsRowDxfId="164"/>
    <tableColumn id="2" name="EX. COMPRA" dataDxfId="163" totalsRowDxfId="162" dataCellStyle="Moeda"/>
    <tableColumn id="3" name="PR Venda" dataDxfId="161" totalsRowDxfId="160" dataCellStyle="Moeda"/>
    <tableColumn id="16" name="QTDE" dataDxfId="159" totalsRowDxfId="158"/>
    <tableColumn id="13" name="PERDA P/ OPÇÃO" dataDxfId="157" totalsRowDxfId="156">
      <calculatedColumnFormula>([RISCO])/[QTDE]</calculatedColumnFormula>
    </tableColumn>
    <tableColumn id="14" name="Volume" dataDxfId="155" totalsRowDxfId="154">
      <calculatedColumnFormula>[PR Venda] * [QTDE]+[QTDE]*[PR Compra]</calculatedColumnFormula>
    </tableColumn>
    <tableColumn id="15" name="LUCRO UNI" dataDxfId="153" totalsRowDxfId="152">
      <calculatedColumnFormula>[PR Venda]-[PR Compra]</calculatedColumnFormula>
    </tableColumn>
    <tableColumn id="8" name="PR Compra" dataDxfId="151" totalsRowDxfId="150">
      <calculatedColumnFormula>(-[PERDA P/ OPÇÃO] + ([EX. COMPRA] - [EX. VENDA] + 0.01) - 0.01 -[PR Venda])*-1</calculatedColumnFormula>
    </tableColumn>
    <tableColumn id="5" name="LUCRO" dataDxfId="149" totalsRowDxfId="148">
      <calculatedColumnFormula>([QTDE]*[LUCRO UNI])-64</calculatedColumnFormula>
    </tableColumn>
    <tableColumn id="6" name="PERDA" dataDxfId="147" totalsRowDxfId="146">
      <calculatedColumnFormula>-[PERDA P/ OPÇÃO]*[QTDE]-64</calculatedColumnFormula>
    </tableColumn>
    <tableColumn id="21" name="% QUEDA" dataDxfId="145" totalsRowDxfId="144">
      <calculatedColumnFormula>[EX. VENDA]/[PREÇO AÇÃO]-1</calculatedColumnFormula>
    </tableColumn>
    <tableColumn id="22" name="RISCO : 1" dataDxfId="143" totalsRowDxfId="142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141" dataDxfId="140">
  <autoFilter ref="A1:U2"/>
  <tableColumns count="21">
    <tableColumn id="1" name="PAPEL" totalsRowLabel="Total" dataDxfId="139" totalsRowDxfId="138"/>
    <tableColumn id="10" name="BASE" dataDxfId="137" totalsRowDxfId="136"/>
    <tableColumn id="20" name="PR. AÇÃO" dataDxfId="135" totalsRowDxfId="134"/>
    <tableColumn id="2" name="EX. CP 1" dataDxfId="133" totalsRowDxfId="132"/>
    <tableColumn id="3" name="PR CP 1" dataDxfId="131" totalsRowDxfId="130"/>
    <tableColumn id="12" name="EX. VD" dataDxfId="129" totalsRowDxfId="128"/>
    <tableColumn id="13" name="PR VD" dataDxfId="127" totalsRowDxfId="126"/>
    <tableColumn id="8" name="EX. CP 2" dataDxfId="125" totalsRowDxfId="124"/>
    <tableColumn id="7" name="PR CP 2" dataDxfId="123" totalsRowDxfId="122"/>
    <tableColumn id="18" name="LUCRO UNI." dataDxfId="121" totalsRowDxfId="120">
      <calculatedColumnFormula>(([PR VD] - 0.01) * 2) + (([EX. VD] - [EX. CP 1] + 0.01) - [PR CP 1]) + (0.01 - [PR CP 2])</calculatedColumnFormula>
    </tableColumn>
    <tableColumn id="19" name="PERDA 1" dataDxfId="119" totalsRowDxfId="118">
      <calculatedColumnFormula>(0.01 - [PR CP 1]) + (([PR VD] - 0.01) * 2) + (0.01 - [PR CP 2])</calculatedColumnFormula>
    </tableColumn>
    <tableColumn id="15" name="PERDA 2" dataDxfId="117" totalsRowDxfId="116">
      <calculatedColumnFormula>(([EX. CP 2] - [EX. CP 1] + 0.01) - [PR CP 1]) + (([PR VD] - ([EX. CP 2] - [EX. VD] + 0.01)) * 2) + (0.01 - [PR CP 2])</calculatedColumnFormula>
    </tableColumn>
    <tableColumn id="16" name="PERDA" dataDxfId="115" totalsRowDxfId="114">
      <calculatedColumnFormula>IF([PERDA 1] &gt; [PERDA 2], [PERDA 2], [PERDA 1])</calculatedColumnFormula>
    </tableColumn>
    <tableColumn id="11" name="QTDE TMP" dataDxfId="113" totalsRowDxfId="112">
      <calculatedColumnFormula>ROUNDDOWN([BASE]/ABS([PERDA]), 0)</calculatedColumnFormula>
    </tableColumn>
    <tableColumn id="14" name="QTDE" dataDxfId="111" totalsRowDxfId="110">
      <calculatedColumnFormula>[QTDE TMP] - MOD([QTDE TMP], 100)</calculatedColumnFormula>
    </tableColumn>
    <tableColumn id="4" name="QTDE VD" dataDxfId="109" totalsRowDxfId="108">
      <calculatedColumnFormula>Tabela245[[#This Row],[QTDE]]*2</calculatedColumnFormula>
    </tableColumn>
    <tableColumn id="17" name="VOLUME" dataDxfId="107" totalsRowDxfId="106">
      <calculatedColumnFormula>([QTDE]*[PR CP 1] + [QTDE]*[PR CP 2])+[QTDE]*[PR VD] * 2</calculatedColumnFormula>
    </tableColumn>
    <tableColumn id="5" name="LUCRO" dataDxfId="105" totalsRowDxfId="104">
      <calculatedColumnFormula>([QTDE]*[LUCRO UNI.])-48</calculatedColumnFormula>
    </tableColumn>
    <tableColumn id="6" name="PERDA2" dataDxfId="103" totalsRowDxfId="102">
      <calculatedColumnFormula>[QTDE]*[PERDA]-48</calculatedColumnFormula>
    </tableColumn>
    <tableColumn id="21" name="% VAR" dataDxfId="101" totalsRowDxfId="100">
      <calculatedColumnFormula>[EX. VD] / [PR. AÇÃO] - 1</calculatedColumnFormula>
    </tableColumn>
    <tableColumn id="22" name="RISCO : 1" dataDxfId="99" totalsRowDxfId="98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97" dataDxfId="96">
  <autoFilter ref="A1:O5"/>
  <tableColumns count="15">
    <tableColumn id="1" name="PAPEL" totalsRowLabel="Total" dataDxfId="95" totalsRowDxfId="94"/>
    <tableColumn id="10" name="RISCO" dataDxfId="93" totalsRowDxfId="92"/>
    <tableColumn id="20" name="PREÇO AÇÃO" dataDxfId="91" totalsRowDxfId="90"/>
    <tableColumn id="7" name="EX. VENDA" dataDxfId="89" totalsRowDxfId="88"/>
    <tableColumn id="2" name="EX. COMPRA" dataDxfId="87" totalsRowDxfId="86"/>
    <tableColumn id="9" name="PR VENDA" totalsRowDxfId="85"/>
    <tableColumn id="3" name="PR COMPRA" dataDxfId="84" totalsRowDxfId="83"/>
    <tableColumn id="16" name="QTDE" dataDxfId="82" totalsRowDxfId="81"/>
    <tableColumn id="13" name="PERDA P/ OPÇÃO" dataDxfId="80" totalsRowDxfId="79">
      <calculatedColumnFormula>([PR VENDA] - ([EX. COMPRA] - [EX. VENDA] + 0.01)) + (0.01 - ([PR COMPRA]))</calculatedColumnFormula>
    </tableColumn>
    <tableColumn id="14" name="VOLUME" dataDxfId="78" totalsRowDxfId="77">
      <calculatedColumnFormula>[PR COMPRA] * [QTDE]</calculatedColumnFormula>
    </tableColumn>
    <tableColumn id="15" name="LUCRO UNI" dataDxfId="76" totalsRowDxfId="75">
      <calculatedColumnFormula>[PR VENDA]-[PR COMPRA]</calculatedColumnFormula>
    </tableColumn>
    <tableColumn id="5" name="LUCRO*" dataDxfId="74" totalsRowDxfId="73">
      <calculatedColumnFormula>([QTDE]*[LUCRO UNI])</calculatedColumnFormula>
    </tableColumn>
    <tableColumn id="6" name="PERDA*" dataDxfId="72" totalsRowDxfId="71">
      <calculatedColumnFormula>[PERDA P/ OPÇÃO]*[QTDE]</calculatedColumnFormula>
    </tableColumn>
    <tableColumn id="21" name="% QUEDA" dataDxfId="70" totalsRowDxfId="69">
      <calculatedColumnFormula>[EX. VENDA]/[PREÇO AÇÃO]-1</calculatedColumnFormula>
    </tableColumn>
    <tableColumn id="22" name="RISCO : 1" dataDxfId="68" totalsRowDxfId="67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ela9" displayName="Tabela9" ref="A1:O124" totalsRowShown="0" headerRowDxfId="63" headerRowBorderDxfId="65" tableBorderDxfId="66">
  <autoFilter ref="A1:O124">
    <filterColumn colId="14"/>
  </autoFilter>
  <tableColumns count="15">
    <tableColumn id="1" name="Ticket"/>
    <tableColumn id="2" name="OpenTime"/>
    <tableColumn id="3" name="Type"/>
    <tableColumn id="4" name="Size"/>
    <tableColumn id="5" name="Item"/>
    <tableColumn id="6" name="Price"/>
    <tableColumn id="7" name="S/L"/>
    <tableColumn id="8" name="T/P"/>
    <tableColumn id="9" name="CloseTime"/>
    <tableColumn id="10" name="Price2"/>
    <tableColumn id="11" name="Commission" dataDxfId="64"/>
    <tableColumn id="12" name="Taxes"/>
    <tableColumn id="13" name="Swap"/>
    <tableColumn id="14" name="Profit"/>
    <tableColumn id="15" name="Total" dataDxfId="62">
      <calculatedColumnFormula>Tabela9[[#This Row],[Swap]]+Tabela9[[#This Row],[Profit]]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104"/>
  <sheetViews>
    <sheetView workbookViewId="0">
      <pane xSplit="10" ySplit="1" topLeftCell="K78" activePane="bottomRight" state="frozen"/>
      <selection pane="topRight" activeCell="K1" sqref="K1"/>
      <selection pane="bottomLeft" activeCell="A2" sqref="A2"/>
      <selection pane="bottomRight" activeCell="X83" sqref="X83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6.85546875" style="7" bestFit="1" customWidth="1"/>
    <col min="5" max="5" width="9.85546875" style="7" bestFit="1" customWidth="1"/>
    <col min="6" max="6" width="7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85546875" style="7" bestFit="1" customWidth="1"/>
    <col min="24" max="24" width="10.42578125" style="7" bestFit="1" customWidth="1"/>
    <col min="25" max="25" width="12.85546875" style="7" bestFit="1" customWidth="1"/>
    <col min="26" max="26" width="11.570312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1000</v>
      </c>
      <c r="G92" s="136">
        <v>0.47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470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-486.38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6">
        <f>[LÍQUIDO]-SUMPRODUCT(N([DATA]=NC[[#This Row],[DATA]]),N([ID]=(NC[[#This Row],[ID]]-1)),[LÍQUIDO])</f>
        <v>-486.38</v>
      </c>
      <c r="AA92" s="136">
        <f>IF([T] = "VC", ABS([VALOR OP]) / [QTDE], [VALOR OP]/[QTDE])</f>
        <v>-0.48637999999999998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-0.48637999999999998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500</v>
      </c>
      <c r="G93" s="136">
        <v>0.65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325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308.81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6">
        <f>[LÍQUIDO]-SUMPRODUCT(N([DATA]=NC[[#This Row],[DATA]]),N([ID]=(NC[[#This Row],[ID]]-1)),[LÍQUIDO])</f>
        <v>308.81</v>
      </c>
      <c r="AA93" s="136">
        <f>IF([T] = "VC", ABS([VALOR OP]) / [QTDE], [VALOR OP]/[QTDE])</f>
        <v>0.61762000000000006</v>
      </c>
      <c r="AB93" s="136">
        <f>TRUNC(IF(OR([T]="CV",[T]="VV"),     N93*SETUP!$H$3,     0),2)</f>
        <v>0.01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6">
        <f>IF([LUCRO TMP] &lt;&gt; 0, [LUCRO TMP] - SUMPRODUCT(N([ATIVO]=NC[[#This Row],[ATIVO]]),N(['[D/N']]="N"),N([ID]&lt;NC[[#This Row],[ID]]),N([PAR]=NC[[#This Row],[PAR]]), [LUCRO TMP]), 0)</f>
        <v>65.620000000000033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0.61762000000000006</v>
      </c>
    </row>
    <row r="94" spans="1:37">
      <c r="A94" s="134">
        <v>93</v>
      </c>
      <c r="B94" s="134"/>
      <c r="C94" s="134" t="s">
        <v>183</v>
      </c>
      <c r="D94" s="134" t="s">
        <v>24</v>
      </c>
      <c r="E94" s="135">
        <v>41758</v>
      </c>
      <c r="F94" s="134">
        <v>700</v>
      </c>
      <c r="G94" s="136">
        <v>1.4</v>
      </c>
      <c r="H94" s="137"/>
      <c r="I94" s="138"/>
      <c r="J94" s="134" t="s">
        <v>6</v>
      </c>
      <c r="K94" s="135">
        <f>WORKDAY(NC[[#This Row],[DATA]],1,0)</f>
        <v>41759</v>
      </c>
      <c r="L94" s="139">
        <f>EOMONTH(NC[[#This Row],[DATA DE LIQUIDAÇÃO]],0)</f>
        <v>41759</v>
      </c>
      <c r="M94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6">
        <f>[QTDE]*[PREÇO]</f>
        <v>979.99999999999989</v>
      </c>
      <c r="O94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-979.99999999999989</v>
      </c>
      <c r="P94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0.26</v>
      </c>
      <c r="Q94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0.36</v>
      </c>
      <c r="R94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0.68</v>
      </c>
      <c r="S94" s="136">
        <f>SETUP!$E$3 * IF([PARCIAL] &gt; 0, [QTDE] / [PARCIAL], 1)</f>
        <v>14.9</v>
      </c>
      <c r="T94" s="136">
        <f>SUMPRODUCT(N([DATA]=NC[[#This Row],[DATA]]),N([ID]&lt;=NC[[#This Row],[ID]]), [CORR])</f>
        <v>14.9</v>
      </c>
      <c r="U94" s="136">
        <f>TRUNC([CORRETAGEM]*SETUP!$F$3,2)</f>
        <v>0.28999999999999998</v>
      </c>
      <c r="V94" s="136">
        <f>ROUND([CORRETAGEM]*SETUP!$G$3,2)</f>
        <v>0.57999999999999996</v>
      </c>
      <c r="W94" s="136">
        <f>[VALOR LÍQUIDO DAS OPERAÇÕES]-[TAXA DE LIQUIDAÇÃO]-[EMOLUMENTOS]-[TAXA DE REGISTRO]-[CORRETAGEM]-[ISS]-IF(['[D/N']]="D",    0,    [OUTRAS BOVESPA]) - [AJUSTE]</f>
        <v>-997.06999999999982</v>
      </c>
      <c r="X94" s="136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-997.06999999999982</v>
      </c>
      <c r="Z94" s="136">
        <f>[LÍQUIDO]-SUMPRODUCT(N([DATA]=NC[[#This Row],[DATA]]),N([ID]=(NC[[#This Row],[ID]]-1)),[LÍQUIDO])</f>
        <v>-997.06999999999982</v>
      </c>
      <c r="AA94" s="136">
        <f>IF([T] = "VC", ABS([VALOR OP]) / [QTDE], [VALOR OP]/[QTDE])</f>
        <v>-1.4243857142857139</v>
      </c>
      <c r="AB94" s="136">
        <f>TRUNC(IF(OR([T]="CV",[T]="VV"),     N94*SETUP!$H$3,     0),2)</f>
        <v>0</v>
      </c>
      <c r="AC94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94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1.4243857142857139</v>
      </c>
      <c r="AE94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6">
        <f>IF([LUCRO TMP] &lt;&gt; 0, [LUCRO TMP] - SUMPRODUCT(N([ATIVO]=NC[[#This Row],[ATIVO]]),N(['[D/N']]="N"),N([ID]&lt;NC[[#This Row],[ID]]),N([PAR]=NC[[#This Row],[PAR]]), [LUCRO TMP]), 0)</f>
        <v>0</v>
      </c>
      <c r="AH94" s="136">
        <f>IF([U] = "U", SUMPRODUCT(N([ID]&lt;=NC[[#This Row],[ID]]),N([DATA BASE]=NC[[#This Row],[DATA BASE]]), N(['[D/N']] = "N"),    [LUCRO P/ OP]), 0)</f>
        <v>0</v>
      </c>
      <c r="AI94" s="136">
        <f>IF([U] = "U", SUMPRODUCT(N([DATA BASE]=NC[[#This Row],[DATA BASE]]), N(['[D/N']] = "D"),    [LUCRO P/ OP]), 0)</f>
        <v>0</v>
      </c>
      <c r="AJ94" s="136">
        <f>IF([U] = "U", SUMPRODUCT(N([DATA BASE]=NC[[#This Row],[DATA BASE]]), N(['[D/N']] = "D"),    [IRRF FONTE]), 0)</f>
        <v>0</v>
      </c>
      <c r="AK94" s="154">
        <f>NC[[#This Row],[LÍQUIDO]]/NC[[#This Row],[QTDE]]</f>
        <v>-1.4243857142857139</v>
      </c>
    </row>
    <row r="95" spans="1:37">
      <c r="A95" s="134">
        <v>94</v>
      </c>
      <c r="B95" s="134"/>
      <c r="C95" s="134" t="s">
        <v>183</v>
      </c>
      <c r="D95" s="134" t="s">
        <v>25</v>
      </c>
      <c r="E95" s="135">
        <v>41759</v>
      </c>
      <c r="F95" s="134">
        <v>700</v>
      </c>
      <c r="G95" s="136">
        <v>2.8</v>
      </c>
      <c r="H95" s="137"/>
      <c r="I95" s="138"/>
      <c r="J95" s="134" t="s">
        <v>6</v>
      </c>
      <c r="K95" s="135">
        <f>WORKDAY(NC[[#This Row],[DATA]],1,0)</f>
        <v>41760</v>
      </c>
      <c r="L95" s="139">
        <f>EOMONTH(NC[[#This Row],[DATA DE LIQUIDAÇÃO]],0)</f>
        <v>41790</v>
      </c>
      <c r="M95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6">
        <f>[QTDE]*[PREÇO]</f>
        <v>1959.9999999999998</v>
      </c>
      <c r="O95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1959.9999999999998</v>
      </c>
      <c r="P95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0.53</v>
      </c>
      <c r="Q95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0.72</v>
      </c>
      <c r="R95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1.36</v>
      </c>
      <c r="S95" s="136">
        <f>SETUP!$E$3 * IF([PARCIAL] &gt; 0, [QTDE] / [PARCIAL], 1)</f>
        <v>14.9</v>
      </c>
      <c r="T95" s="136">
        <f>SUMPRODUCT(N([DATA]=NC[[#This Row],[DATA]]),N([ID]&lt;=NC[[#This Row],[ID]]), [CORR])</f>
        <v>14.9</v>
      </c>
      <c r="U95" s="136">
        <f>TRUNC([CORRETAGEM]*SETUP!$F$3,2)</f>
        <v>0.28999999999999998</v>
      </c>
      <c r="V95" s="136">
        <f>ROUND([CORRETAGEM]*SETUP!$G$3,2)</f>
        <v>0.57999999999999996</v>
      </c>
      <c r="W95" s="136">
        <f>[VALOR LÍQUIDO DAS OPERAÇÕES]-[TAXA DE LIQUIDAÇÃO]-[EMOLUMENTOS]-[TAXA DE REGISTRO]-[CORRETAGEM]-[ISS]-IF(['[D/N']]="D",    0,    [OUTRAS BOVESPA]) - [AJUSTE]</f>
        <v>1941.62</v>
      </c>
      <c r="X95" s="136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1941.62</v>
      </c>
      <c r="Z95" s="136">
        <f>[LÍQUIDO]-SUMPRODUCT(N([DATA]=NC[[#This Row],[DATA]]),N([ID]=(NC[[#This Row],[ID]]-1)),[LÍQUIDO])</f>
        <v>1941.62</v>
      </c>
      <c r="AA95" s="136">
        <f>IF([T] = "VC", ABS([VALOR OP]) / [QTDE], [VALOR OP]/[QTDE])</f>
        <v>2.7737428571428571</v>
      </c>
      <c r="AB95" s="136">
        <f>TRUNC(IF(OR([T]="CV",[T]="VV"),     N95*SETUP!$H$3,     0),2)</f>
        <v>0.09</v>
      </c>
      <c r="AC95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5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1.4243857142857139</v>
      </c>
      <c r="AE95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2.7737428571428571</v>
      </c>
      <c r="AF95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944.55000000000018</v>
      </c>
      <c r="AG95" s="136">
        <f>IF([LUCRO TMP] &lt;&gt; 0, [LUCRO TMP] - SUMPRODUCT(N([ATIVO]=NC[[#This Row],[ATIVO]]),N(['[D/N']]="N"),N([ID]&lt;NC[[#This Row],[ID]]),N([PAR]=NC[[#This Row],[PAR]]), [LUCRO TMP]), 0)</f>
        <v>944.55000000000018</v>
      </c>
      <c r="AH95" s="136">
        <f>IF([U] = "U", SUMPRODUCT(N([ID]&lt;=NC[[#This Row],[ID]]),N([DATA BASE]=NC[[#This Row],[DATA BASE]]), N(['[D/N']] = "N"),    [LUCRO P/ OP]), 0)</f>
        <v>0</v>
      </c>
      <c r="AI95" s="136">
        <f>IF([U] = "U", SUMPRODUCT(N([DATA BASE]=NC[[#This Row],[DATA BASE]]), N(['[D/N']] = "D"),    [LUCRO P/ OP]), 0)</f>
        <v>0</v>
      </c>
      <c r="AJ95" s="136">
        <f>IF([U] = "U", SUMPRODUCT(N([DATA BASE]=NC[[#This Row],[DATA BASE]]), N(['[D/N']] = "D"),    [IRRF FONTE]), 0)</f>
        <v>0</v>
      </c>
      <c r="AK95" s="154">
        <f>NC[[#This Row],[LÍQUIDO]]/NC[[#This Row],[QTDE]]</f>
        <v>2.7737428571428571</v>
      </c>
    </row>
    <row r="96" spans="1:37">
      <c r="Y96" s="27"/>
      <c r="AG96" s="27"/>
    </row>
    <row r="99" spans="2:25">
      <c r="Y99" s="7">
        <v>-760</v>
      </c>
    </row>
    <row r="102" spans="2:25">
      <c r="C102" s="7">
        <v>1900</v>
      </c>
      <c r="D102" s="25">
        <v>0.48</v>
      </c>
      <c r="E102" s="25">
        <f>C102*D102</f>
        <v>912</v>
      </c>
    </row>
    <row r="103" spans="2:25">
      <c r="B103" s="7">
        <v>530</v>
      </c>
      <c r="C103" s="7">
        <f>B103/D103-MOD(B103/D103,100)</f>
        <v>2600</v>
      </c>
      <c r="D103" s="25">
        <v>0.2</v>
      </c>
      <c r="E103" s="25">
        <f>C103*D103</f>
        <v>520</v>
      </c>
    </row>
    <row r="104" spans="2:25">
      <c r="C104" s="7">
        <f>C103+C102</f>
        <v>4500</v>
      </c>
      <c r="E104" s="23">
        <f>E102+E103</f>
        <v>1432</v>
      </c>
      <c r="F104" s="7">
        <f>E104/C104</f>
        <v>0.31822222222222224</v>
      </c>
      <c r="G104" s="7">
        <f>F104*2</f>
        <v>0.63644444444444448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X80"/>
  <sheetViews>
    <sheetView tabSelected="1" workbookViewId="0">
      <selection activeCell="L19" sqref="L19"/>
    </sheetView>
  </sheetViews>
  <sheetFormatPr defaultRowHeight="11.25"/>
  <cols>
    <col min="1" max="1" width="7.7109375" style="25" bestFit="1" customWidth="1"/>
    <col min="2" max="2" width="10" style="25" customWidth="1"/>
    <col min="3" max="3" width="7.7109375" style="25" bestFit="1" customWidth="1"/>
    <col min="4" max="4" width="7.42578125" style="152" bestFit="1" customWidth="1"/>
    <col min="5" max="5" width="7.7109375" style="27" bestFit="1" customWidth="1"/>
    <col min="6" max="6" width="6.5703125" style="159" bestFit="1" customWidth="1"/>
    <col min="7" max="7" width="8" style="152" bestFit="1" customWidth="1"/>
    <col min="8" max="8" width="8.28515625" style="155" bestFit="1" customWidth="1"/>
    <col min="9" max="9" width="6.5703125" style="159" bestFit="1" customWidth="1"/>
    <col min="10" max="10" width="6.5703125" style="7" bestFit="1" customWidth="1"/>
    <col min="11" max="11" width="9.140625" style="25" customWidth="1"/>
    <col min="12" max="12" width="7.7109375" style="25" bestFit="1" customWidth="1"/>
    <col min="13" max="13" width="8.5703125" style="25" bestFit="1" customWidth="1"/>
    <col min="14" max="14" width="8.42578125" style="25" bestFit="1" customWidth="1"/>
    <col min="15" max="15" width="9.140625" style="7"/>
    <col min="16" max="17" width="7.7109375" style="25" bestFit="1" customWidth="1"/>
    <col min="18" max="18" width="9.140625" style="7"/>
    <col min="19" max="19" width="13.85546875" style="25" bestFit="1" customWidth="1"/>
    <col min="20" max="21" width="10.85546875" style="7" bestFit="1" customWidth="1"/>
    <col min="22" max="24" width="11.7109375" style="7" bestFit="1" customWidth="1"/>
    <col min="25" max="16384" width="9.140625" style="7"/>
  </cols>
  <sheetData>
    <row r="1" spans="1:23" s="24" customFormat="1">
      <c r="A1" s="26" t="s">
        <v>219</v>
      </c>
      <c r="B1" s="156">
        <f>SUM(B2:B29)/COUNTA(B2:B29)</f>
        <v>-1.5316927849951267E-3</v>
      </c>
      <c r="C1" s="26" t="s">
        <v>184</v>
      </c>
      <c r="D1" s="157" t="s">
        <v>185</v>
      </c>
      <c r="E1" s="156" t="s">
        <v>186</v>
      </c>
      <c r="F1" s="158"/>
      <c r="G1" s="157" t="s">
        <v>187</v>
      </c>
      <c r="H1" s="160" t="s">
        <v>188</v>
      </c>
      <c r="I1" s="158"/>
      <c r="K1" s="26"/>
      <c r="L1" s="26"/>
      <c r="M1" s="26" t="s">
        <v>189</v>
      </c>
      <c r="N1" s="26" t="s">
        <v>190</v>
      </c>
      <c r="P1" s="26" t="s">
        <v>218</v>
      </c>
      <c r="Q1" s="26" t="s">
        <v>219</v>
      </c>
      <c r="S1" s="26"/>
    </row>
    <row r="2" spans="1:23">
      <c r="A2" s="25">
        <v>27.87</v>
      </c>
      <c r="C2" s="25">
        <f>IF(COUNTBLANK(A2:A10)&gt;0,"",AVERAGE(A2:A10))</f>
        <v>27.714444444444442</v>
      </c>
      <c r="D2" s="152">
        <f t="shared" ref="D2:D9" si="0">IF(C2="","",STDEV(A2:A10))</f>
        <v>0.62616114361871689</v>
      </c>
      <c r="E2" s="27">
        <f>D2/C2</f>
        <v>2.2593313926025146E-2</v>
      </c>
      <c r="G2" s="152">
        <f>VAR(A2:A10)</f>
        <v>0.39207777777789943</v>
      </c>
      <c r="H2" s="155">
        <f t="shared" ref="H2:H33" si="1">G2/C2</f>
        <v>1.414705528605659E-2</v>
      </c>
      <c r="M2" s="25">
        <v>18.059999999999999</v>
      </c>
      <c r="N2" s="25">
        <v>27.6</v>
      </c>
      <c r="P2" s="25">
        <v>16.13</v>
      </c>
      <c r="Q2" s="25">
        <v>28.15</v>
      </c>
      <c r="S2" s="25">
        <v>600</v>
      </c>
      <c r="T2" s="80">
        <f>S2*85%*20%</f>
        <v>102</v>
      </c>
      <c r="U2" s="80">
        <f>S2-T2</f>
        <v>498</v>
      </c>
      <c r="V2" s="80">
        <f>SUM($U$2:U2)</f>
        <v>498</v>
      </c>
      <c r="W2" s="80">
        <f>V2+T2+S2</f>
        <v>1200</v>
      </c>
    </row>
    <row r="3" spans="1:23">
      <c r="A3" s="25">
        <v>28.15</v>
      </c>
      <c r="B3" s="27">
        <f>IF(A3&gt;0,A3/A2-1,"")</f>
        <v>1.0046645138141352E-2</v>
      </c>
      <c r="C3" s="25">
        <f t="shared" ref="C3:C66" si="2">IF(COUNTBLANK(A3:A11)&gt;0,"",AVERAGE(A3:A11))</f>
        <v>27.553333333333327</v>
      </c>
      <c r="D3" s="152">
        <f t="shared" si="0"/>
        <v>0.75451971478565472</v>
      </c>
      <c r="E3" s="27">
        <f t="shared" ref="E3:E15" si="3">D3/C3</f>
        <v>2.7383972227884884E-2</v>
      </c>
      <c r="F3" s="159">
        <f>E3/E2</f>
        <v>1.2120387614470933</v>
      </c>
      <c r="G3" s="152">
        <f t="shared" ref="G3:G66" si="4">VAR(A3:A11)</f>
        <v>0.56930000000022574</v>
      </c>
      <c r="H3" s="155">
        <f t="shared" si="1"/>
        <v>2.0661746915081994E-2</v>
      </c>
      <c r="I3" s="159">
        <f>ROUND(H3/H2,2)</f>
        <v>1.46</v>
      </c>
      <c r="J3" s="27">
        <f>IF(COUNTBLANK(B3:B11)&gt;0,"",AVERAGE(B3:B11))</f>
        <v>-5.8007505522128895E-3</v>
      </c>
      <c r="M3" s="25">
        <v>18.05</v>
      </c>
      <c r="N3" s="25">
        <v>27.55</v>
      </c>
      <c r="O3" s="80"/>
      <c r="P3" s="25">
        <v>16.03</v>
      </c>
      <c r="Q3" s="25">
        <v>27.5</v>
      </c>
      <c r="S3" s="25">
        <f t="shared" ref="S3:S15" si="5">S2+T2+600</f>
        <v>1302</v>
      </c>
      <c r="T3" s="80">
        <f t="shared" ref="T3:T47" si="6">S3*85%*20%</f>
        <v>221.34000000000003</v>
      </c>
      <c r="U3" s="80">
        <f t="shared" ref="U3:U22" si="7">S3-T3</f>
        <v>1080.6599999999999</v>
      </c>
      <c r="V3" s="80">
        <f>SUM($U$2:U3)</f>
        <v>1578.6599999999999</v>
      </c>
      <c r="W3" s="80">
        <f t="shared" ref="W3:W22" si="8">V3+T3+S3</f>
        <v>3102</v>
      </c>
    </row>
    <row r="4" spans="1:23">
      <c r="A4" s="25">
        <v>28.54</v>
      </c>
      <c r="B4" s="27">
        <f t="shared" ref="B4:B29" si="9">IF(A4&gt;0,A4/A3-1,"")</f>
        <v>1.3854351687389022E-2</v>
      </c>
      <c r="C4" s="25">
        <f t="shared" si="2"/>
        <v>27.464444444444442</v>
      </c>
      <c r="D4" s="152">
        <f t="shared" si="0"/>
        <v>0.72185717269964045</v>
      </c>
      <c r="E4" s="27">
        <f t="shared" si="3"/>
        <v>2.628333422727067E-2</v>
      </c>
      <c r="F4" s="159">
        <f t="shared" ref="F4:F67" si="10">E4/E3</f>
        <v>0.95980721892883591</v>
      </c>
      <c r="G4" s="152">
        <f t="shared" si="4"/>
        <v>0.52107777777791853</v>
      </c>
      <c r="H4" s="155">
        <f t="shared" si="1"/>
        <v>1.8972813334417294E-2</v>
      </c>
      <c r="I4" s="159">
        <f>ROUND(H4/H3,2)</f>
        <v>0.92</v>
      </c>
      <c r="J4" s="27">
        <f t="shared" ref="J4:J67" si="11">IF(COUNTBLANK(B4:B12)&gt;0,"",AVERAGE(B4:B12))</f>
        <v>-3.0058660562489489E-3</v>
      </c>
      <c r="M4" s="25">
        <v>17.89</v>
      </c>
      <c r="N4" s="25">
        <v>26.8</v>
      </c>
      <c r="O4" s="80"/>
      <c r="P4" s="25">
        <v>16.559999999999999</v>
      </c>
      <c r="Q4" s="25">
        <v>26.75</v>
      </c>
      <c r="S4" s="25">
        <f t="shared" si="5"/>
        <v>2123.34</v>
      </c>
      <c r="T4" s="80">
        <f t="shared" si="6"/>
        <v>360.96780000000007</v>
      </c>
      <c r="U4" s="80">
        <f t="shared" si="7"/>
        <v>1762.3722</v>
      </c>
      <c r="V4" s="80">
        <f>SUM($U$2:U4)</f>
        <v>3341.0321999999996</v>
      </c>
      <c r="W4" s="80">
        <f t="shared" si="8"/>
        <v>5825.34</v>
      </c>
    </row>
    <row r="5" spans="1:23">
      <c r="A5" s="25">
        <v>28.04</v>
      </c>
      <c r="B5" s="27">
        <f t="shared" si="9"/>
        <v>-1.7519271198318198E-2</v>
      </c>
      <c r="C5" s="25">
        <f t="shared" si="2"/>
        <v>27.309999999999995</v>
      </c>
      <c r="D5" s="152">
        <f t="shared" si="0"/>
        <v>0.60166435825990838</v>
      </c>
      <c r="E5" s="27">
        <f t="shared" si="3"/>
        <v>2.2030917548879841E-2</v>
      </c>
      <c r="F5" s="159">
        <f t="shared" si="10"/>
        <v>0.83820862902627213</v>
      </c>
      <c r="G5" s="152">
        <f t="shared" si="4"/>
        <v>0.36200000000030741</v>
      </c>
      <c r="H5" s="155">
        <f t="shared" si="1"/>
        <v>1.3255217868923745E-2</v>
      </c>
      <c r="I5" s="159">
        <f t="shared" ref="I5:I68" si="12">ROUND(H5/H4,2)</f>
        <v>0.7</v>
      </c>
      <c r="J5" s="27">
        <f t="shared" si="11"/>
        <v>-5.3577511614697239E-3</v>
      </c>
      <c r="M5" s="25">
        <v>17.87</v>
      </c>
      <c r="N5" s="25">
        <v>26.65</v>
      </c>
      <c r="O5" s="80"/>
      <c r="P5" s="25">
        <v>16.690000000000001</v>
      </c>
      <c r="Q5" s="25">
        <v>26.73</v>
      </c>
      <c r="S5" s="25">
        <f t="shared" si="5"/>
        <v>3084.3078</v>
      </c>
      <c r="T5" s="80">
        <f t="shared" si="6"/>
        <v>524.33232600000008</v>
      </c>
      <c r="U5" s="80">
        <f t="shared" si="7"/>
        <v>2559.9754739999998</v>
      </c>
      <c r="V5" s="80">
        <f>SUM($U$2:U5)</f>
        <v>5901.0076739999995</v>
      </c>
      <c r="W5" s="80">
        <f t="shared" si="8"/>
        <v>9509.6477999999988</v>
      </c>
    </row>
    <row r="6" spans="1:23">
      <c r="A6" s="25">
        <v>27.7</v>
      </c>
      <c r="B6" s="27">
        <f t="shared" si="9"/>
        <v>-1.2125534950071293E-2</v>
      </c>
      <c r="C6" s="25">
        <f t="shared" si="2"/>
        <v>27.186666666666667</v>
      </c>
      <c r="D6" s="152">
        <f t="shared" si="0"/>
        <v>0.54435741934874404</v>
      </c>
      <c r="E6" s="27">
        <f t="shared" si="3"/>
        <v>2.0022955591542817E-2</v>
      </c>
      <c r="F6" s="159">
        <f t="shared" si="10"/>
        <v>0.90885708900312601</v>
      </c>
      <c r="G6" s="152">
        <f t="shared" si="4"/>
        <v>0.29632500000002437</v>
      </c>
      <c r="H6" s="155">
        <f t="shared" si="1"/>
        <v>1.0899644433546752E-2</v>
      </c>
      <c r="I6" s="159">
        <f t="shared" si="12"/>
        <v>0.82</v>
      </c>
      <c r="J6" s="27">
        <f t="shared" si="11"/>
        <v>-4.3115133344415251E-3</v>
      </c>
      <c r="M6" s="25">
        <v>17.91</v>
      </c>
      <c r="N6" s="25">
        <v>26.67</v>
      </c>
      <c r="O6" s="80"/>
      <c r="P6" s="25">
        <v>16.57</v>
      </c>
      <c r="Q6" s="25">
        <v>26.42</v>
      </c>
      <c r="S6" s="25">
        <f t="shared" si="5"/>
        <v>4208.6401260000002</v>
      </c>
      <c r="T6" s="80">
        <f t="shared" si="6"/>
        <v>715.46882142000004</v>
      </c>
      <c r="U6" s="80">
        <f t="shared" si="7"/>
        <v>3493.1713045800002</v>
      </c>
      <c r="V6" s="80">
        <f>SUM($U$2:U6)</f>
        <v>9394.1789785799992</v>
      </c>
      <c r="W6" s="80">
        <f t="shared" si="8"/>
        <v>14318.287925999999</v>
      </c>
    </row>
    <row r="7" spans="1:23">
      <c r="A7" s="25">
        <v>28.15</v>
      </c>
      <c r="B7" s="27">
        <f t="shared" si="9"/>
        <v>1.6245487364620947E-2</v>
      </c>
      <c r="C7" s="25">
        <f t="shared" si="2"/>
        <v>27.135555555555559</v>
      </c>
      <c r="D7" s="152">
        <f t="shared" si="0"/>
        <v>0.51068853303896011</v>
      </c>
      <c r="E7" s="27">
        <f t="shared" si="3"/>
        <v>1.8819903354969456E-2</v>
      </c>
      <c r="F7" s="159">
        <f t="shared" si="10"/>
        <v>0.93991635095662407</v>
      </c>
      <c r="G7" s="152">
        <f t="shared" si="4"/>
        <v>0.26080277777748506</v>
      </c>
      <c r="H7" s="155">
        <f t="shared" si="1"/>
        <v>9.6111088362843562E-3</v>
      </c>
      <c r="I7" s="159">
        <f t="shared" si="12"/>
        <v>0.88</v>
      </c>
      <c r="J7" s="27">
        <f t="shared" si="11"/>
        <v>-1.6851954889762519E-3</v>
      </c>
      <c r="M7" s="25">
        <v>17.940000000000001</v>
      </c>
      <c r="N7" s="25">
        <v>26.64</v>
      </c>
      <c r="O7" s="80"/>
      <c r="P7" s="25">
        <v>17.600000000000001</v>
      </c>
      <c r="Q7" s="25">
        <v>27.35</v>
      </c>
      <c r="S7" s="25">
        <f t="shared" si="5"/>
        <v>5524.1089474199998</v>
      </c>
      <c r="T7" s="80">
        <f t="shared" si="6"/>
        <v>939.09852106139988</v>
      </c>
      <c r="U7" s="80">
        <f t="shared" si="7"/>
        <v>4585.0104263585999</v>
      </c>
      <c r="V7" s="80">
        <f>SUM($U$2:U7)</f>
        <v>13979.189404938599</v>
      </c>
      <c r="W7" s="80">
        <f t="shared" si="8"/>
        <v>20442.396873419999</v>
      </c>
    </row>
    <row r="8" spans="1:23">
      <c r="A8" s="25">
        <v>27.5</v>
      </c>
      <c r="B8" s="27">
        <f t="shared" si="9"/>
        <v>-2.3090586145648295E-2</v>
      </c>
      <c r="C8" s="25">
        <f t="shared" si="2"/>
        <v>26.988888888888894</v>
      </c>
      <c r="D8" s="152">
        <f t="shared" si="0"/>
        <v>0.34588453436217037</v>
      </c>
      <c r="E8" s="27">
        <f t="shared" si="3"/>
        <v>1.2815812306543981E-2</v>
      </c>
      <c r="F8" s="159">
        <f t="shared" si="10"/>
        <v>0.68097120717465986</v>
      </c>
      <c r="G8" s="152">
        <f t="shared" si="4"/>
        <v>0.11963611111093542</v>
      </c>
      <c r="H8" s="155">
        <f t="shared" si="1"/>
        <v>4.4327912721219371E-3</v>
      </c>
      <c r="I8" s="159">
        <f t="shared" si="12"/>
        <v>0.46</v>
      </c>
      <c r="J8" s="27">
        <f t="shared" si="11"/>
        <v>-5.1626268636388245E-3</v>
      </c>
      <c r="M8" s="25">
        <v>18.149999999999999</v>
      </c>
      <c r="N8" s="25">
        <v>26.64</v>
      </c>
      <c r="O8" s="80"/>
      <c r="P8" s="25">
        <v>17.57</v>
      </c>
      <c r="Q8" s="25">
        <v>27.15</v>
      </c>
      <c r="S8" s="25">
        <f t="shared" si="5"/>
        <v>7063.2074684813997</v>
      </c>
      <c r="T8" s="80">
        <f t="shared" si="6"/>
        <v>1200.7452696418379</v>
      </c>
      <c r="U8" s="80">
        <f t="shared" si="7"/>
        <v>5862.462198839562</v>
      </c>
      <c r="V8" s="80">
        <f>SUM($U$2:U8)</f>
        <v>19841.651603778162</v>
      </c>
      <c r="W8" s="80">
        <f t="shared" si="8"/>
        <v>28105.604341901399</v>
      </c>
    </row>
    <row r="9" spans="1:23">
      <c r="A9" s="25">
        <v>26.75</v>
      </c>
      <c r="B9" s="27">
        <f t="shared" si="9"/>
        <v>-2.7272727272727226E-2</v>
      </c>
      <c r="C9" s="25">
        <f t="shared" si="2"/>
        <v>26.87777777777778</v>
      </c>
      <c r="D9" s="152">
        <f t="shared" si="0"/>
        <v>0.3208885233913546</v>
      </c>
      <c r="E9" s="27">
        <f t="shared" si="3"/>
        <v>1.1938804094758955E-2</v>
      </c>
      <c r="F9" s="159">
        <f t="shared" si="10"/>
        <v>0.93156826966502859</v>
      </c>
      <c r="G9" s="152">
        <f t="shared" si="4"/>
        <v>0.10296944444428391</v>
      </c>
      <c r="H9" s="155">
        <f t="shared" si="1"/>
        <v>3.8310252170258583E-3</v>
      </c>
      <c r="I9" s="159">
        <f t="shared" si="12"/>
        <v>0.86</v>
      </c>
      <c r="J9" s="27">
        <f t="shared" si="11"/>
        <v>-3.9636355757448989E-3</v>
      </c>
      <c r="M9" s="25">
        <v>18.28</v>
      </c>
      <c r="N9" s="25">
        <v>26.54</v>
      </c>
      <c r="O9" s="80"/>
      <c r="P9" s="25">
        <v>18.239999999999998</v>
      </c>
      <c r="Q9" s="25">
        <v>26.93</v>
      </c>
      <c r="S9" s="25">
        <f t="shared" si="5"/>
        <v>8863.9527381232383</v>
      </c>
      <c r="T9" s="80">
        <f t="shared" si="6"/>
        <v>1506.8719654809506</v>
      </c>
      <c r="U9" s="80">
        <f t="shared" si="7"/>
        <v>7357.0807726422881</v>
      </c>
      <c r="V9" s="80">
        <f>SUM($U$2:U9)</f>
        <v>27198.732376420448</v>
      </c>
      <c r="W9" s="80">
        <f t="shared" si="8"/>
        <v>37569.557080024635</v>
      </c>
    </row>
    <row r="10" spans="1:23">
      <c r="A10" s="25">
        <v>26.73</v>
      </c>
      <c r="B10" s="27">
        <f t="shared" si="9"/>
        <v>-7.4766355140187812E-4</v>
      </c>
      <c r="C10" s="25">
        <f t="shared" si="2"/>
        <v>26.975555555555559</v>
      </c>
      <c r="D10" s="152">
        <f>IF(C10="","",STDEV(A10:A17))</f>
        <v>0.33919810899040936</v>
      </c>
      <c r="E10" s="27">
        <f t="shared" si="3"/>
        <v>1.257427704470584E-2</v>
      </c>
      <c r="F10" s="159">
        <f t="shared" si="10"/>
        <v>1.0532275213583455</v>
      </c>
      <c r="G10" s="152">
        <f t="shared" si="4"/>
        <v>0.1609027777776646</v>
      </c>
      <c r="H10" s="155">
        <f t="shared" si="1"/>
        <v>5.9647623362673249E-3</v>
      </c>
      <c r="I10" s="159">
        <f t="shared" si="12"/>
        <v>1.56</v>
      </c>
      <c r="J10" s="27">
        <f t="shared" si="11"/>
        <v>3.8046129472206016E-3</v>
      </c>
      <c r="M10" s="25">
        <v>17.5</v>
      </c>
      <c r="N10" s="25">
        <v>26.05</v>
      </c>
      <c r="O10" s="80"/>
      <c r="P10" s="25">
        <v>18.579999999999998</v>
      </c>
      <c r="Q10" s="25">
        <v>27.24</v>
      </c>
      <c r="S10" s="175">
        <f t="shared" si="5"/>
        <v>10970.824703604188</v>
      </c>
      <c r="T10" s="80">
        <f t="shared" si="6"/>
        <v>1865.0401996127121</v>
      </c>
      <c r="U10" s="174">
        <f t="shared" si="7"/>
        <v>9105.7845039914755</v>
      </c>
      <c r="V10" s="174">
        <f>SUM($U$2:U10)</f>
        <v>36304.516880411924</v>
      </c>
      <c r="W10" s="174">
        <f t="shared" si="8"/>
        <v>49140.381783628822</v>
      </c>
    </row>
    <row r="11" spans="1:23">
      <c r="A11" s="25">
        <v>26.42</v>
      </c>
      <c r="B11" s="27">
        <f t="shared" si="9"/>
        <v>-1.1597456041900434E-2</v>
      </c>
      <c r="C11" s="25">
        <f t="shared" si="2"/>
        <v>27.072222222222223</v>
      </c>
      <c r="D11" s="152">
        <f t="shared" ref="D11:D17" si="13">IF(C11="","",STDEV(A11:A19))</f>
        <v>0.43771502652352517</v>
      </c>
      <c r="E11" s="27">
        <f t="shared" si="3"/>
        <v>1.6168418792167974E-2</v>
      </c>
      <c r="F11" s="159">
        <f t="shared" si="10"/>
        <v>1.2858328741035159</v>
      </c>
      <c r="G11" s="152">
        <f t="shared" si="4"/>
        <v>0.19159444444449036</v>
      </c>
      <c r="H11" s="155">
        <f t="shared" si="1"/>
        <v>7.0771598604572675E-3</v>
      </c>
      <c r="I11" s="159">
        <f t="shared" si="12"/>
        <v>1.19</v>
      </c>
      <c r="J11" s="27">
        <f t="shared" si="11"/>
        <v>3.7670448607012665E-3</v>
      </c>
      <c r="M11" s="25">
        <v>17.3</v>
      </c>
      <c r="N11" s="25">
        <v>26.03</v>
      </c>
      <c r="P11" s="25">
        <v>17.88</v>
      </c>
      <c r="Q11" s="25">
        <v>26.83</v>
      </c>
      <c r="S11" s="25">
        <f t="shared" si="5"/>
        <v>13435.864903216901</v>
      </c>
      <c r="T11" s="80">
        <f t="shared" si="6"/>
        <v>2284.0970335468733</v>
      </c>
      <c r="U11" s="80">
        <f t="shared" si="7"/>
        <v>11151.767869670028</v>
      </c>
      <c r="V11" s="80">
        <f>SUM($U$2:U11)</f>
        <v>47456.284750081948</v>
      </c>
      <c r="W11" s="80">
        <f t="shared" si="8"/>
        <v>63176.246686845727</v>
      </c>
    </row>
    <row r="12" spans="1:23">
      <c r="A12" s="25">
        <v>27.35</v>
      </c>
      <c r="B12" s="27">
        <f t="shared" si="9"/>
        <v>3.5200605601816815E-2</v>
      </c>
      <c r="C12" s="25">
        <f>IF(COUNTBLANK(A12:A20)&gt;0,"",AVERAGE(A12:A20))</f>
        <v>27.275555555555556</v>
      </c>
      <c r="D12" s="152">
        <f t="shared" si="13"/>
        <v>0.51507550687043291</v>
      </c>
      <c r="E12" s="27">
        <f t="shared" si="3"/>
        <v>1.888414356295379E-2</v>
      </c>
      <c r="F12" s="159">
        <f t="shared" si="10"/>
        <v>1.1679647716758377</v>
      </c>
      <c r="G12" s="152">
        <f t="shared" si="4"/>
        <v>0.2653027777778334</v>
      </c>
      <c r="H12" s="155">
        <f t="shared" si="1"/>
        <v>9.7267598175024457E-3</v>
      </c>
      <c r="I12" s="159">
        <f t="shared" si="12"/>
        <v>1.37</v>
      </c>
      <c r="J12" s="27">
        <f t="shared" si="11"/>
        <v>7.6723982695436656E-3</v>
      </c>
      <c r="M12" s="25">
        <v>17.739999999999998</v>
      </c>
      <c r="N12" s="25">
        <v>26.39</v>
      </c>
      <c r="P12" s="25">
        <v>17.670000000000002</v>
      </c>
      <c r="Q12" s="25">
        <v>26.5</v>
      </c>
      <c r="S12" s="25">
        <f t="shared" si="5"/>
        <v>16319.961936763775</v>
      </c>
      <c r="T12" s="80">
        <f t="shared" si="6"/>
        <v>2774.3935292498418</v>
      </c>
      <c r="U12" s="80">
        <f t="shared" si="7"/>
        <v>13545.568407513932</v>
      </c>
      <c r="V12" s="80">
        <f>SUM($U$2:U12)</f>
        <v>61001.853157595877</v>
      </c>
      <c r="W12" s="80">
        <f t="shared" si="8"/>
        <v>80096.208623609491</v>
      </c>
    </row>
    <row r="13" spans="1:23">
      <c r="A13" s="25">
        <v>27.15</v>
      </c>
      <c r="B13" s="27">
        <f t="shared" si="9"/>
        <v>-7.3126142595979493E-3</v>
      </c>
      <c r="C13" s="25">
        <f t="shared" si="2"/>
        <v>27.36666666666666</v>
      </c>
      <c r="D13" s="152">
        <f t="shared" si="13"/>
        <v>0.59604949458936163</v>
      </c>
      <c r="E13" s="27">
        <f t="shared" si="3"/>
        <v>2.1780127695104571E-2</v>
      </c>
      <c r="F13" s="159">
        <f t="shared" si="10"/>
        <v>1.1533553334042648</v>
      </c>
      <c r="G13" s="152">
        <f t="shared" si="4"/>
        <v>0.35527500000023338</v>
      </c>
      <c r="H13" s="155">
        <f t="shared" si="1"/>
        <v>1.2982034104758835E-2</v>
      </c>
      <c r="I13" s="159">
        <f t="shared" si="12"/>
        <v>1.33</v>
      </c>
      <c r="J13" s="27">
        <f t="shared" si="11"/>
        <v>3.4465689352218463E-3</v>
      </c>
      <c r="M13" s="25">
        <v>17.59</v>
      </c>
      <c r="N13" s="25">
        <v>26.21</v>
      </c>
      <c r="P13" s="25">
        <v>18.03</v>
      </c>
      <c r="Q13" s="25">
        <v>27.63</v>
      </c>
      <c r="S13" s="25">
        <f t="shared" si="5"/>
        <v>19694.355466013618</v>
      </c>
      <c r="T13" s="80">
        <f t="shared" si="6"/>
        <v>3348.0404292223157</v>
      </c>
      <c r="U13" s="80">
        <f t="shared" si="7"/>
        <v>16346.315036791302</v>
      </c>
      <c r="V13" s="80">
        <f>SUM($U$2:U13)</f>
        <v>77348.168194387181</v>
      </c>
      <c r="W13" s="80">
        <f t="shared" si="8"/>
        <v>100390.56408962311</v>
      </c>
    </row>
    <row r="14" spans="1:23">
      <c r="A14" s="25">
        <v>26.93</v>
      </c>
      <c r="B14" s="27">
        <f t="shared" si="9"/>
        <v>-8.1031307550644138E-3</v>
      </c>
      <c r="C14" s="25">
        <f t="shared" si="2"/>
        <v>27.411111111111111</v>
      </c>
      <c r="D14" s="152">
        <f t="shared" si="13"/>
        <v>0.59277829844824481</v>
      </c>
      <c r="E14" s="27">
        <f t="shared" si="3"/>
        <v>2.1625475014325914E-2</v>
      </c>
      <c r="F14" s="159">
        <f t="shared" si="10"/>
        <v>0.99289936758206343</v>
      </c>
      <c r="G14" s="152">
        <f t="shared" si="4"/>
        <v>0.35138611111119644</v>
      </c>
      <c r="H14" s="155">
        <f t="shared" si="1"/>
        <v>1.281911228212715E-2</v>
      </c>
      <c r="I14" s="159">
        <f t="shared" si="12"/>
        <v>0.99</v>
      </c>
      <c r="J14" s="27">
        <f t="shared" si="11"/>
        <v>1.8136116666259078E-3</v>
      </c>
      <c r="M14" s="25">
        <v>17.690000000000001</v>
      </c>
      <c r="N14" s="25">
        <v>26.18</v>
      </c>
      <c r="P14" s="25">
        <v>17.96</v>
      </c>
      <c r="Q14" s="25">
        <v>27.6</v>
      </c>
      <c r="S14" s="25">
        <f t="shared" si="5"/>
        <v>23642.395895235932</v>
      </c>
      <c r="T14" s="80">
        <f t="shared" si="6"/>
        <v>4019.2073021901083</v>
      </c>
      <c r="U14" s="80">
        <f t="shared" si="7"/>
        <v>19623.188593045823</v>
      </c>
      <c r="V14" s="80">
        <f>SUM($U$2:U14)</f>
        <v>96971.356787433004</v>
      </c>
      <c r="W14" s="80">
        <f t="shared" si="8"/>
        <v>124632.95998485904</v>
      </c>
    </row>
    <row r="15" spans="1:23">
      <c r="A15" s="25">
        <v>27.24</v>
      </c>
      <c r="B15" s="27">
        <f t="shared" si="9"/>
        <v>1.1511325659116167E-2</v>
      </c>
      <c r="C15" s="25">
        <f>IF(COUNTBLANK(A15:A23)&gt;0,"",AVERAGE(A15:A23))</f>
        <v>27.378888888888884</v>
      </c>
      <c r="D15" s="152">
        <f t="shared" si="13"/>
        <v>0.62897624049832512</v>
      </c>
      <c r="E15" s="27">
        <f t="shared" si="3"/>
        <v>2.2973037476096452E-2</v>
      </c>
      <c r="F15" s="159">
        <f t="shared" si="10"/>
        <v>1.0623136583533004</v>
      </c>
      <c r="G15" s="152">
        <f t="shared" si="4"/>
        <v>0.3956111111114069</v>
      </c>
      <c r="H15" s="155">
        <f t="shared" si="1"/>
        <v>1.4449494744542279E-2</v>
      </c>
      <c r="I15" s="159">
        <f t="shared" si="12"/>
        <v>1.1299999999999999</v>
      </c>
      <c r="J15" s="27">
        <f t="shared" si="11"/>
        <v>-9.5613524887308262E-4</v>
      </c>
      <c r="M15" s="25">
        <v>17.46</v>
      </c>
      <c r="N15" s="25">
        <v>26.18</v>
      </c>
      <c r="P15" s="25">
        <v>18.29</v>
      </c>
      <c r="Q15" s="25">
        <v>28.25</v>
      </c>
      <c r="S15" s="25">
        <f t="shared" si="5"/>
        <v>28261.60319742604</v>
      </c>
      <c r="T15" s="80">
        <f t="shared" si="6"/>
        <v>4804.4725435624268</v>
      </c>
      <c r="U15" s="80">
        <f t="shared" si="7"/>
        <v>23457.130653863613</v>
      </c>
      <c r="V15" s="80">
        <f>SUM($U$2:U15)</f>
        <v>120428.48744129662</v>
      </c>
      <c r="W15" s="80">
        <f t="shared" si="8"/>
        <v>153494.56318228508</v>
      </c>
    </row>
    <row r="16" spans="1:23">
      <c r="A16" s="25">
        <v>26.83</v>
      </c>
      <c r="B16" s="27">
        <f t="shared" si="9"/>
        <v>-1.5051395007342205E-2</v>
      </c>
      <c r="C16" s="25">
        <f>IF(COUNTBLANK(A16:A24)&gt;0,"",AVERAGE(A16:A24))</f>
        <v>27.244444444444447</v>
      </c>
      <c r="D16" s="152">
        <f t="shared" si="13"/>
        <v>0.77479208680628797</v>
      </c>
      <c r="E16" s="27">
        <f t="shared" ref="E16:E33" si="14">D16/C16</f>
        <v>2.8438534996968152E-2</v>
      </c>
      <c r="F16" s="159">
        <f t="shared" si="10"/>
        <v>1.2379092240875231</v>
      </c>
      <c r="G16" s="152">
        <f t="shared" si="4"/>
        <v>0.6003027777776424</v>
      </c>
      <c r="H16" s="155">
        <f t="shared" si="1"/>
        <v>2.2033951876014604E-2</v>
      </c>
      <c r="I16" s="159">
        <f t="shared" si="12"/>
        <v>1.52</v>
      </c>
      <c r="J16" s="27">
        <f t="shared" si="11"/>
        <v>-4.7793823107635308E-3</v>
      </c>
      <c r="M16" s="25">
        <v>17.399999999999999</v>
      </c>
      <c r="N16" s="25">
        <v>26.6</v>
      </c>
      <c r="P16" s="25">
        <v>18.03</v>
      </c>
      <c r="Q16" s="25">
        <v>28.17</v>
      </c>
      <c r="S16" s="25">
        <f t="shared" ref="S16:S22" si="15">S15+T15+600</f>
        <v>33666.075740988468</v>
      </c>
      <c r="T16" s="80">
        <f t="shared" si="6"/>
        <v>5723.2328759680395</v>
      </c>
      <c r="U16" s="80">
        <f t="shared" si="7"/>
        <v>27942.84286502043</v>
      </c>
      <c r="V16" s="80">
        <f>SUM($U$2:U16)</f>
        <v>148371.33030631705</v>
      </c>
      <c r="W16" s="80">
        <f t="shared" si="8"/>
        <v>187760.63892327354</v>
      </c>
    </row>
    <row r="17" spans="1:24">
      <c r="A17" s="25">
        <v>26.5</v>
      </c>
      <c r="B17" s="27">
        <f t="shared" si="9"/>
        <v>-1.2299664554602963E-2</v>
      </c>
      <c r="C17" s="25">
        <f t="shared" si="2"/>
        <v>27.172222222222221</v>
      </c>
      <c r="D17" s="152">
        <f t="shared" si="13"/>
        <v>0.84533688222189185</v>
      </c>
      <c r="E17" s="27">
        <f t="shared" si="14"/>
        <v>3.1110333019820188E-2</v>
      </c>
      <c r="F17" s="159">
        <f t="shared" si="10"/>
        <v>1.0939499177133027</v>
      </c>
      <c r="G17" s="152">
        <f t="shared" si="4"/>
        <v>0.71459444444462861</v>
      </c>
      <c r="H17" s="155">
        <f t="shared" si="1"/>
        <v>2.6298711919859569E-2</v>
      </c>
      <c r="I17" s="159">
        <f t="shared" si="12"/>
        <v>1.19</v>
      </c>
      <c r="J17" s="27">
        <f t="shared" si="11"/>
        <v>-2.4667182392173778E-3</v>
      </c>
      <c r="M17" s="25">
        <v>17.5</v>
      </c>
      <c r="N17" s="25">
        <v>26.67</v>
      </c>
      <c r="P17" s="25">
        <v>18.05</v>
      </c>
      <c r="Q17" s="25">
        <v>27.55</v>
      </c>
      <c r="S17" s="25">
        <f t="shared" si="15"/>
        <v>39989.308616956507</v>
      </c>
      <c r="T17" s="80">
        <f t="shared" si="6"/>
        <v>6798.1824648826068</v>
      </c>
      <c r="U17" s="80">
        <f t="shared" si="7"/>
        <v>33191.126152073899</v>
      </c>
      <c r="V17" s="80">
        <f>SUM($U$2:U17)</f>
        <v>181562.45645839095</v>
      </c>
      <c r="W17" s="80">
        <f t="shared" si="8"/>
        <v>228349.94754023006</v>
      </c>
    </row>
    <row r="18" spans="1:24">
      <c r="A18" s="25">
        <v>27.63</v>
      </c>
      <c r="B18" s="27">
        <f t="shared" si="9"/>
        <v>4.2641509433962277E-2</v>
      </c>
      <c r="C18" s="25">
        <f t="shared" si="2"/>
        <v>27.18555555555556</v>
      </c>
      <c r="D18" s="152">
        <f>IF(C18="","",STDEV(A17:A26))</f>
        <v>0.81589827797361991</v>
      </c>
      <c r="E18" s="27">
        <f t="shared" si="14"/>
        <v>3.0012198069900593E-2</v>
      </c>
      <c r="F18" s="159">
        <f t="shared" si="10"/>
        <v>0.96470192237350916</v>
      </c>
      <c r="G18" s="152">
        <f t="shared" si="4"/>
        <v>0.69602777777743086</v>
      </c>
      <c r="H18" s="155">
        <f t="shared" si="1"/>
        <v>2.560285282215587E-2</v>
      </c>
      <c r="I18" s="159">
        <f t="shared" si="12"/>
        <v>0.97</v>
      </c>
      <c r="J18" s="27">
        <f t="shared" si="11"/>
        <v>7.6732478785801472E-4</v>
      </c>
      <c r="M18" s="25">
        <v>17.54</v>
      </c>
      <c r="N18" s="25">
        <v>26.68</v>
      </c>
      <c r="P18" s="25">
        <v>17.940000000000001</v>
      </c>
      <c r="Q18" s="25">
        <v>26.64</v>
      </c>
      <c r="S18" s="25">
        <f t="shared" si="15"/>
        <v>47387.491081839114</v>
      </c>
      <c r="T18" s="80">
        <f t="shared" si="6"/>
        <v>8055.87348391265</v>
      </c>
      <c r="U18" s="80">
        <f t="shared" si="7"/>
        <v>39331.617597926466</v>
      </c>
      <c r="V18" s="80">
        <f>SUM($U$2:U18)</f>
        <v>220894.07405631742</v>
      </c>
      <c r="W18" s="80">
        <f t="shared" si="8"/>
        <v>276337.4386220692</v>
      </c>
    </row>
    <row r="19" spans="1:24">
      <c r="A19" s="25">
        <v>27.6</v>
      </c>
      <c r="B19" s="27">
        <f t="shared" si="9"/>
        <v>-1.0857763300758938E-3</v>
      </c>
      <c r="C19" s="25" t="str">
        <f t="shared" si="2"/>
        <v/>
      </c>
      <c r="D19" s="152" t="str">
        <f t="shared" ref="D19:D50" si="16">IF(C19="","",STDEV(A19:A27))</f>
        <v/>
      </c>
      <c r="E19" s="27" t="e">
        <f t="shared" si="14"/>
        <v>#VALUE!</v>
      </c>
      <c r="F19" s="159" t="e">
        <f t="shared" si="10"/>
        <v>#VALUE!</v>
      </c>
      <c r="G19" s="152">
        <f t="shared" si="4"/>
        <v>0.76371428571409139</v>
      </c>
      <c r="H19" s="155" t="e">
        <f t="shared" si="1"/>
        <v>#VALUE!</v>
      </c>
      <c r="I19" s="159" t="e">
        <f t="shared" si="12"/>
        <v>#VALUE!</v>
      </c>
      <c r="J19" s="27" t="str">
        <f t="shared" si="11"/>
        <v/>
      </c>
      <c r="M19" s="25">
        <v>17.649999999999999</v>
      </c>
      <c r="N19" s="25">
        <v>26.62</v>
      </c>
      <c r="P19" s="25">
        <v>17.3</v>
      </c>
      <c r="Q19" s="25">
        <v>26.03</v>
      </c>
      <c r="S19" s="25">
        <f t="shared" si="15"/>
        <v>56043.364565751763</v>
      </c>
      <c r="T19" s="80">
        <f t="shared" si="6"/>
        <v>9527.3719761777993</v>
      </c>
      <c r="U19" s="80">
        <f t="shared" si="7"/>
        <v>46515.992589573965</v>
      </c>
      <c r="V19" s="80">
        <f>SUM($U$2:U19)</f>
        <v>267410.06664589141</v>
      </c>
      <c r="W19" s="80">
        <f t="shared" si="8"/>
        <v>332980.80318782094</v>
      </c>
    </row>
    <row r="20" spans="1:24">
      <c r="A20" s="25">
        <v>28.25</v>
      </c>
      <c r="B20" s="27">
        <f t="shared" si="9"/>
        <v>2.3550724637681153E-2</v>
      </c>
      <c r="C20" s="25" t="str">
        <f t="shared" si="2"/>
        <v/>
      </c>
      <c r="D20" s="152" t="str">
        <f t="shared" si="16"/>
        <v/>
      </c>
      <c r="E20" s="27" t="e">
        <f t="shared" si="14"/>
        <v>#VALUE!</v>
      </c>
      <c r="F20" s="159" t="e">
        <f t="shared" si="10"/>
        <v>#VALUE!</v>
      </c>
      <c r="G20" s="152">
        <f t="shared" si="4"/>
        <v>0.84892380952381552</v>
      </c>
      <c r="H20" s="155" t="e">
        <f t="shared" si="1"/>
        <v>#VALUE!</v>
      </c>
      <c r="I20" s="159" t="e">
        <f t="shared" si="12"/>
        <v>#VALUE!</v>
      </c>
      <c r="J20" s="27" t="str">
        <f t="shared" si="11"/>
        <v/>
      </c>
      <c r="P20" s="25">
        <v>17.46</v>
      </c>
      <c r="Q20" s="25">
        <v>26.18</v>
      </c>
      <c r="S20" s="25">
        <f t="shared" si="15"/>
        <v>66170.736541929567</v>
      </c>
      <c r="T20" s="80">
        <f t="shared" si="6"/>
        <v>11249.025212128028</v>
      </c>
      <c r="U20" s="80">
        <f t="shared" si="7"/>
        <v>54921.711329801539</v>
      </c>
      <c r="V20" s="80">
        <f>SUM($U$2:U20)</f>
        <v>322331.77797569294</v>
      </c>
      <c r="W20" s="80">
        <f t="shared" si="8"/>
        <v>399751.53972975048</v>
      </c>
    </row>
    <row r="21" spans="1:24">
      <c r="A21" s="25">
        <v>28.17</v>
      </c>
      <c r="B21" s="27">
        <f t="shared" si="9"/>
        <v>-2.8318584070795572E-3</v>
      </c>
      <c r="C21" s="25" t="str">
        <f t="shared" si="2"/>
        <v/>
      </c>
      <c r="D21" s="152" t="str">
        <f t="shared" si="16"/>
        <v/>
      </c>
      <c r="E21" s="27" t="e">
        <f t="shared" si="14"/>
        <v>#VALUE!</v>
      </c>
      <c r="F21" s="159" t="e">
        <f t="shared" si="10"/>
        <v>#VALUE!</v>
      </c>
      <c r="G21" s="152">
        <f t="shared" si="4"/>
        <v>0.68986999999997356</v>
      </c>
      <c r="H21" s="155" t="e">
        <f t="shared" si="1"/>
        <v>#VALUE!</v>
      </c>
      <c r="I21" s="159" t="e">
        <f t="shared" si="12"/>
        <v>#VALUE!</v>
      </c>
      <c r="J21" s="27" t="str">
        <f t="shared" si="11"/>
        <v/>
      </c>
      <c r="P21" s="25">
        <v>17.649999999999999</v>
      </c>
      <c r="Q21" s="25">
        <v>26.62</v>
      </c>
      <c r="S21" s="25">
        <f t="shared" si="15"/>
        <v>78019.761754057603</v>
      </c>
      <c r="T21" s="80">
        <f t="shared" si="6"/>
        <v>13263.359498189791</v>
      </c>
      <c r="U21" s="80">
        <f t="shared" si="7"/>
        <v>64756.402255867812</v>
      </c>
      <c r="V21" s="80">
        <f>SUM($U$2:U21)</f>
        <v>387088.18023156072</v>
      </c>
      <c r="W21" s="80">
        <f t="shared" si="8"/>
        <v>478371.30148380809</v>
      </c>
    </row>
    <row r="22" spans="1:24">
      <c r="A22" s="25">
        <v>27.55</v>
      </c>
      <c r="B22" s="27">
        <f t="shared" si="9"/>
        <v>-2.2009229676961395E-2</v>
      </c>
      <c r="C22" s="25" t="str">
        <f t="shared" si="2"/>
        <v/>
      </c>
      <c r="D22" s="152" t="str">
        <f t="shared" si="16"/>
        <v/>
      </c>
      <c r="E22" s="27" t="e">
        <f t="shared" si="14"/>
        <v>#VALUE!</v>
      </c>
      <c r="F22" s="159" t="e">
        <f t="shared" si="10"/>
        <v>#VALUE!</v>
      </c>
      <c r="G22" s="152">
        <f t="shared" si="4"/>
        <v>0.35142999999993663</v>
      </c>
      <c r="H22" s="155" t="e">
        <f t="shared" si="1"/>
        <v>#VALUE!</v>
      </c>
      <c r="I22" s="159" t="e">
        <f t="shared" si="12"/>
        <v>#VALUE!</v>
      </c>
      <c r="J22" s="27" t="str">
        <f t="shared" si="11"/>
        <v/>
      </c>
      <c r="S22" s="175">
        <f t="shared" si="15"/>
        <v>91883.121252247394</v>
      </c>
      <c r="T22" s="174">
        <f t="shared" si="6"/>
        <v>15620.130612882058</v>
      </c>
      <c r="U22" s="174">
        <f t="shared" si="7"/>
        <v>76262.990639365336</v>
      </c>
      <c r="V22" s="174">
        <f>SUM($U$2:U22)</f>
        <v>463351.17087092606</v>
      </c>
      <c r="W22" s="174">
        <f t="shared" si="8"/>
        <v>570854.42273605545</v>
      </c>
      <c r="X22" s="80">
        <f>W22-W10</f>
        <v>521714.04095242661</v>
      </c>
    </row>
    <row r="23" spans="1:24">
      <c r="A23" s="25">
        <v>26.64</v>
      </c>
      <c r="B23" s="27">
        <f t="shared" si="9"/>
        <v>-3.3030852994555326E-2</v>
      </c>
      <c r="C23" s="25" t="str">
        <f t="shared" si="2"/>
        <v/>
      </c>
      <c r="D23" s="152" t="str">
        <f t="shared" si="16"/>
        <v/>
      </c>
      <c r="E23" s="27" t="e">
        <f t="shared" si="14"/>
        <v>#VALUE!</v>
      </c>
      <c r="F23" s="159" t="e">
        <f t="shared" si="10"/>
        <v>#VALUE!</v>
      </c>
      <c r="G23" s="152">
        <f t="shared" si="4"/>
        <v>9.569166666672875E-2</v>
      </c>
      <c r="H23" s="155" t="e">
        <f t="shared" si="1"/>
        <v>#VALUE!</v>
      </c>
      <c r="I23" s="159" t="e">
        <f t="shared" si="12"/>
        <v>#VALUE!</v>
      </c>
      <c r="J23" s="27" t="str">
        <f t="shared" si="11"/>
        <v/>
      </c>
      <c r="S23" s="25">
        <f>S22+T22+600</f>
        <v>108103.25186512945</v>
      </c>
      <c r="T23" s="80">
        <f t="shared" si="6"/>
        <v>18377.552817072006</v>
      </c>
      <c r="U23" s="80">
        <f>S23-T23</f>
        <v>89725.699048057446</v>
      </c>
      <c r="V23" s="80">
        <f>SUM($U$2:U23)</f>
        <v>553076.86991898355</v>
      </c>
      <c r="W23" s="80">
        <f>V23+T23+S23</f>
        <v>679557.67460118502</v>
      </c>
    </row>
    <row r="24" spans="1:24">
      <c r="A24" s="25">
        <v>26.03</v>
      </c>
      <c r="B24" s="27">
        <f t="shared" si="9"/>
        <v>-2.2897897897897868E-2</v>
      </c>
      <c r="C24" s="25" t="str">
        <f t="shared" si="2"/>
        <v/>
      </c>
      <c r="D24" s="152" t="str">
        <f t="shared" si="16"/>
        <v/>
      </c>
      <c r="E24" s="27" t="e">
        <f t="shared" si="14"/>
        <v>#VALUE!</v>
      </c>
      <c r="F24" s="159" t="e">
        <f t="shared" si="10"/>
        <v>#VALUE!</v>
      </c>
      <c r="G24" s="152">
        <f t="shared" si="4"/>
        <v>9.403333333352748E-2</v>
      </c>
      <c r="H24" s="155" t="e">
        <f t="shared" si="1"/>
        <v>#VALUE!</v>
      </c>
      <c r="I24" s="159" t="e">
        <f t="shared" si="12"/>
        <v>#VALUE!</v>
      </c>
      <c r="J24" s="27" t="str">
        <f t="shared" si="11"/>
        <v/>
      </c>
      <c r="S24" s="25">
        <f t="shared" ref="S24:S29" si="17">S23+T23+600</f>
        <v>127080.80468220146</v>
      </c>
      <c r="T24" s="80">
        <f t="shared" si="6"/>
        <v>21603.736795974248</v>
      </c>
      <c r="U24" s="80">
        <f t="shared" ref="U24:U29" si="18">S24-T24</f>
        <v>105477.06788622722</v>
      </c>
      <c r="V24" s="80">
        <f>SUM($U$2:U24)</f>
        <v>658553.93780521071</v>
      </c>
      <c r="W24" s="80">
        <f t="shared" ref="W24:W29" si="19">V24+T24+S24</f>
        <v>807238.47928338638</v>
      </c>
    </row>
    <row r="25" spans="1:24">
      <c r="A25" s="25">
        <v>26.18</v>
      </c>
      <c r="B25" s="27">
        <f>IF(A25&gt;0,A25/A24-1,"")</f>
        <v>5.7625816365731719E-3</v>
      </c>
      <c r="C25" s="25" t="str">
        <f t="shared" si="2"/>
        <v/>
      </c>
      <c r="D25" s="152" t="str">
        <f t="shared" si="16"/>
        <v/>
      </c>
      <c r="E25" s="27" t="e">
        <f t="shared" si="14"/>
        <v>#VALUE!</v>
      </c>
      <c r="F25" s="159" t="e">
        <f t="shared" si="10"/>
        <v>#VALUE!</v>
      </c>
      <c r="G25" s="152">
        <f t="shared" si="4"/>
        <v>9.6800000000030195E-2</v>
      </c>
      <c r="H25" s="155" t="e">
        <f t="shared" si="1"/>
        <v>#VALUE!</v>
      </c>
      <c r="I25" s="159" t="e">
        <f t="shared" si="12"/>
        <v>#VALUE!</v>
      </c>
      <c r="J25" s="27" t="str">
        <f t="shared" si="11"/>
        <v/>
      </c>
      <c r="S25" s="25">
        <f t="shared" si="17"/>
        <v>149284.5414781757</v>
      </c>
      <c r="T25" s="80">
        <f t="shared" si="6"/>
        <v>25378.372051289869</v>
      </c>
      <c r="U25" s="80">
        <f t="shared" si="18"/>
        <v>123906.16942688583</v>
      </c>
      <c r="V25" s="80">
        <f>SUM($U$2:U25)</f>
        <v>782460.10723209649</v>
      </c>
      <c r="W25" s="80">
        <f t="shared" si="19"/>
        <v>957123.02076156205</v>
      </c>
    </row>
    <row r="26" spans="1:24">
      <c r="A26" s="25">
        <v>26.62</v>
      </c>
      <c r="B26" s="27">
        <f t="shared" si="9"/>
        <v>1.6806722689075571E-2</v>
      </c>
      <c r="C26" s="25" t="str">
        <f t="shared" si="2"/>
        <v/>
      </c>
      <c r="D26" s="152" t="str">
        <f t="shared" si="16"/>
        <v/>
      </c>
      <c r="E26" s="27" t="e">
        <f t="shared" si="14"/>
        <v>#VALUE!</v>
      </c>
      <c r="F26" s="159" t="e">
        <f t="shared" si="10"/>
        <v>#VALUE!</v>
      </c>
      <c r="G26" s="152" t="e">
        <f t="shared" si="4"/>
        <v>#DIV/0!</v>
      </c>
      <c r="H26" s="155" t="e">
        <f t="shared" si="1"/>
        <v>#DIV/0!</v>
      </c>
      <c r="I26" s="159" t="e">
        <f t="shared" si="12"/>
        <v>#DIV/0!</v>
      </c>
      <c r="J26" s="27" t="str">
        <f t="shared" si="11"/>
        <v/>
      </c>
      <c r="S26" s="25">
        <f t="shared" si="17"/>
        <v>175262.91352946556</v>
      </c>
      <c r="T26" s="80">
        <f t="shared" si="6"/>
        <v>29794.695300009145</v>
      </c>
      <c r="U26" s="80">
        <f t="shared" si="18"/>
        <v>145468.2182294564</v>
      </c>
      <c r="V26" s="80">
        <f>SUM($U$2:U26)</f>
        <v>927928.32546155294</v>
      </c>
      <c r="W26" s="80">
        <f t="shared" si="19"/>
        <v>1132985.9342910275</v>
      </c>
    </row>
    <row r="27" spans="1:24">
      <c r="B27" s="27" t="str">
        <f t="shared" si="9"/>
        <v/>
      </c>
      <c r="C27" s="25" t="str">
        <f t="shared" si="2"/>
        <v/>
      </c>
      <c r="D27" s="152" t="str">
        <f t="shared" si="16"/>
        <v/>
      </c>
      <c r="E27" s="27" t="e">
        <f t="shared" si="14"/>
        <v>#VALUE!</v>
      </c>
      <c r="F27" s="159" t="e">
        <f t="shared" si="10"/>
        <v>#VALUE!</v>
      </c>
      <c r="G27" s="152" t="e">
        <f t="shared" si="4"/>
        <v>#DIV/0!</v>
      </c>
      <c r="H27" s="155" t="e">
        <f t="shared" si="1"/>
        <v>#DIV/0!</v>
      </c>
      <c r="I27" s="159" t="e">
        <f t="shared" si="12"/>
        <v>#DIV/0!</v>
      </c>
      <c r="J27" s="27" t="str">
        <f t="shared" si="11"/>
        <v/>
      </c>
      <c r="K27" s="27"/>
      <c r="S27" s="25">
        <f t="shared" si="17"/>
        <v>205657.60882947472</v>
      </c>
      <c r="T27" s="80">
        <f t="shared" si="6"/>
        <v>34961.793501010703</v>
      </c>
      <c r="U27" s="80">
        <f t="shared" si="18"/>
        <v>170695.81532846403</v>
      </c>
      <c r="V27" s="80">
        <f>SUM($U$2:U27)</f>
        <v>1098624.1407900169</v>
      </c>
      <c r="W27" s="80">
        <f t="shared" si="19"/>
        <v>1339243.5431205023</v>
      </c>
    </row>
    <row r="28" spans="1:24">
      <c r="B28" s="27" t="str">
        <f t="shared" si="9"/>
        <v/>
      </c>
      <c r="C28" s="25" t="str">
        <f t="shared" si="2"/>
        <v/>
      </c>
      <c r="D28" s="152" t="str">
        <f t="shared" si="16"/>
        <v/>
      </c>
      <c r="E28" s="27" t="e">
        <f t="shared" si="14"/>
        <v>#VALUE!</v>
      </c>
      <c r="F28" s="159" t="e">
        <f t="shared" si="10"/>
        <v>#VALUE!</v>
      </c>
      <c r="G28" s="152" t="e">
        <f t="shared" si="4"/>
        <v>#DIV/0!</v>
      </c>
      <c r="H28" s="155" t="e">
        <f t="shared" si="1"/>
        <v>#DIV/0!</v>
      </c>
      <c r="I28" s="159" t="e">
        <f t="shared" si="12"/>
        <v>#DIV/0!</v>
      </c>
      <c r="J28" s="27" t="str">
        <f t="shared" si="11"/>
        <v/>
      </c>
      <c r="S28" s="25">
        <f t="shared" si="17"/>
        <v>241219.40233048541</v>
      </c>
      <c r="T28" s="80">
        <f t="shared" si="6"/>
        <v>41007.298396182523</v>
      </c>
      <c r="U28" s="80">
        <f t="shared" si="18"/>
        <v>200212.10393430287</v>
      </c>
      <c r="V28" s="80">
        <f>SUM($U$2:U28)</f>
        <v>1298836.2447243198</v>
      </c>
      <c r="W28" s="80">
        <f t="shared" si="19"/>
        <v>1581062.9454509877</v>
      </c>
    </row>
    <row r="29" spans="1:24">
      <c r="B29" s="27" t="str">
        <f t="shared" si="9"/>
        <v/>
      </c>
      <c r="C29" s="25" t="str">
        <f t="shared" si="2"/>
        <v/>
      </c>
      <c r="D29" s="152" t="str">
        <f t="shared" si="16"/>
        <v/>
      </c>
      <c r="E29" s="27" t="e">
        <f t="shared" si="14"/>
        <v>#VALUE!</v>
      </c>
      <c r="F29" s="159" t="e">
        <f t="shared" si="10"/>
        <v>#VALUE!</v>
      </c>
      <c r="G29" s="152" t="e">
        <f t="shared" si="4"/>
        <v>#DIV/0!</v>
      </c>
      <c r="H29" s="155" t="e">
        <f t="shared" si="1"/>
        <v>#DIV/0!</v>
      </c>
      <c r="I29" s="159" t="e">
        <f t="shared" si="12"/>
        <v>#DIV/0!</v>
      </c>
      <c r="J29" s="27" t="str">
        <f t="shared" si="11"/>
        <v/>
      </c>
      <c r="S29" s="25">
        <f t="shared" si="17"/>
        <v>282826.70072666794</v>
      </c>
      <c r="T29" s="80">
        <f t="shared" si="6"/>
        <v>48080.539123533556</v>
      </c>
      <c r="U29" s="80">
        <f t="shared" si="18"/>
        <v>234746.16160313439</v>
      </c>
      <c r="V29" s="80">
        <f>SUM($U$2:U29)</f>
        <v>1533582.4063274541</v>
      </c>
      <c r="W29" s="80">
        <f t="shared" si="19"/>
        <v>1864489.6461776556</v>
      </c>
    </row>
    <row r="30" spans="1:24">
      <c r="C30" s="25" t="str">
        <f t="shared" si="2"/>
        <v/>
      </c>
      <c r="D30" s="152" t="str">
        <f t="shared" si="16"/>
        <v/>
      </c>
      <c r="E30" s="27" t="e">
        <f t="shared" si="14"/>
        <v>#VALUE!</v>
      </c>
      <c r="F30" s="159" t="e">
        <f t="shared" si="10"/>
        <v>#VALUE!</v>
      </c>
      <c r="G30" s="152" t="e">
        <f t="shared" si="4"/>
        <v>#DIV/0!</v>
      </c>
      <c r="H30" s="155" t="e">
        <f t="shared" si="1"/>
        <v>#DIV/0!</v>
      </c>
      <c r="I30" s="159" t="e">
        <f t="shared" si="12"/>
        <v>#DIV/0!</v>
      </c>
      <c r="J30" s="27" t="str">
        <f t="shared" si="11"/>
        <v/>
      </c>
      <c r="S30" s="25">
        <f t="shared" ref="S30:S35" si="20">S29+T29+600</f>
        <v>331507.23985020153</v>
      </c>
      <c r="T30" s="80">
        <f t="shared" si="6"/>
        <v>56356.230774534262</v>
      </c>
      <c r="U30" s="80">
        <f t="shared" ref="U30:U35" si="21">S30-T30</f>
        <v>275151.00907566724</v>
      </c>
      <c r="V30" s="80">
        <f>SUM($U$2:U30)</f>
        <v>1808733.4154031214</v>
      </c>
      <c r="W30" s="80">
        <f t="shared" ref="W30:W35" si="22">V30+T30+S30</f>
        <v>2196596.8860278572</v>
      </c>
    </row>
    <row r="31" spans="1:24">
      <c r="C31" s="25" t="str">
        <f t="shared" si="2"/>
        <v/>
      </c>
      <c r="D31" s="152" t="str">
        <f t="shared" si="16"/>
        <v/>
      </c>
      <c r="E31" s="27" t="e">
        <f t="shared" si="14"/>
        <v>#VALUE!</v>
      </c>
      <c r="F31" s="159" t="e">
        <f t="shared" si="10"/>
        <v>#VALUE!</v>
      </c>
      <c r="G31" s="152" t="e">
        <f t="shared" si="4"/>
        <v>#DIV/0!</v>
      </c>
      <c r="H31" s="155" t="e">
        <f t="shared" si="1"/>
        <v>#DIV/0!</v>
      </c>
      <c r="I31" s="159" t="e">
        <f t="shared" si="12"/>
        <v>#DIV/0!</v>
      </c>
      <c r="J31" s="27" t="str">
        <f t="shared" si="11"/>
        <v/>
      </c>
      <c r="S31" s="25">
        <f t="shared" si="20"/>
        <v>388463.47062473581</v>
      </c>
      <c r="T31" s="80">
        <f t="shared" si="6"/>
        <v>66038.79000620509</v>
      </c>
      <c r="U31" s="80">
        <f t="shared" si="21"/>
        <v>322424.68061853072</v>
      </c>
      <c r="V31" s="80">
        <f>SUM($U$2:U31)</f>
        <v>2131158.0960216522</v>
      </c>
      <c r="W31" s="80">
        <f t="shared" si="22"/>
        <v>2585660.3566525932</v>
      </c>
    </row>
    <row r="32" spans="1:24">
      <c r="C32" s="25" t="str">
        <f t="shared" si="2"/>
        <v/>
      </c>
      <c r="D32" s="152" t="str">
        <f t="shared" si="16"/>
        <v/>
      </c>
      <c r="E32" s="27" t="e">
        <f t="shared" si="14"/>
        <v>#VALUE!</v>
      </c>
      <c r="F32" s="159" t="e">
        <f t="shared" si="10"/>
        <v>#VALUE!</v>
      </c>
      <c r="G32" s="152" t="e">
        <f t="shared" si="4"/>
        <v>#DIV/0!</v>
      </c>
      <c r="H32" s="155" t="e">
        <f t="shared" si="1"/>
        <v>#DIV/0!</v>
      </c>
      <c r="I32" s="159" t="e">
        <f t="shared" si="12"/>
        <v>#DIV/0!</v>
      </c>
      <c r="J32" s="27" t="str">
        <f t="shared" si="11"/>
        <v/>
      </c>
      <c r="S32" s="25">
        <f t="shared" si="20"/>
        <v>455102.2606309409</v>
      </c>
      <c r="T32" s="80">
        <f t="shared" si="6"/>
        <v>77367.384307259956</v>
      </c>
      <c r="U32" s="80">
        <f t="shared" si="21"/>
        <v>377734.87632368098</v>
      </c>
      <c r="V32" s="80">
        <f>SUM($U$2:U32)</f>
        <v>2508892.9723453331</v>
      </c>
      <c r="W32" s="80">
        <f t="shared" si="22"/>
        <v>3041362.6172835343</v>
      </c>
    </row>
    <row r="33" spans="3:24">
      <c r="C33" s="25" t="str">
        <f t="shared" si="2"/>
        <v/>
      </c>
      <c r="D33" s="152" t="str">
        <f t="shared" si="16"/>
        <v/>
      </c>
      <c r="E33" s="27" t="e">
        <f t="shared" si="14"/>
        <v>#VALUE!</v>
      </c>
      <c r="F33" s="159" t="e">
        <f t="shared" si="10"/>
        <v>#VALUE!</v>
      </c>
      <c r="G33" s="152" t="e">
        <f t="shared" si="4"/>
        <v>#DIV/0!</v>
      </c>
      <c r="H33" s="155" t="e">
        <f t="shared" si="1"/>
        <v>#DIV/0!</v>
      </c>
      <c r="I33" s="159" t="e">
        <f t="shared" si="12"/>
        <v>#DIV/0!</v>
      </c>
      <c r="J33" s="27" t="str">
        <f t="shared" si="11"/>
        <v/>
      </c>
      <c r="S33" s="25">
        <f t="shared" si="20"/>
        <v>533069.64493820083</v>
      </c>
      <c r="T33" s="80">
        <f t="shared" si="6"/>
        <v>90621.839639494137</v>
      </c>
      <c r="U33" s="80">
        <f t="shared" si="21"/>
        <v>442447.80529870669</v>
      </c>
      <c r="V33" s="80">
        <f>SUM($U$2:U33)</f>
        <v>2951340.7776440396</v>
      </c>
      <c r="W33" s="80">
        <f t="shared" si="22"/>
        <v>3575032.2622217345</v>
      </c>
    </row>
    <row r="34" spans="3:24">
      <c r="C34" s="25" t="str">
        <f t="shared" si="2"/>
        <v/>
      </c>
      <c r="D34" s="152" t="str">
        <f t="shared" si="16"/>
        <v/>
      </c>
      <c r="E34" s="27" t="e">
        <f t="shared" ref="E34:E49" si="23">D34/C34</f>
        <v>#VALUE!</v>
      </c>
      <c r="F34" s="159" t="e">
        <f t="shared" si="10"/>
        <v>#VALUE!</v>
      </c>
      <c r="G34" s="152" t="e">
        <f t="shared" si="4"/>
        <v>#DIV/0!</v>
      </c>
      <c r="H34" s="155" t="e">
        <f t="shared" ref="H34:H65" si="24">G34/C34</f>
        <v>#DIV/0!</v>
      </c>
      <c r="I34" s="159" t="e">
        <f t="shared" si="12"/>
        <v>#DIV/0!</v>
      </c>
      <c r="J34" s="27" t="str">
        <f t="shared" si="11"/>
        <v/>
      </c>
      <c r="S34" s="175">
        <f t="shared" si="20"/>
        <v>624291.48457769491</v>
      </c>
      <c r="T34" s="174">
        <f t="shared" si="6"/>
        <v>106129.55237820813</v>
      </c>
      <c r="U34" s="174">
        <f t="shared" si="21"/>
        <v>518161.93219948676</v>
      </c>
      <c r="V34" s="174">
        <f>SUM($U$2:U34)</f>
        <v>3469502.7098435266</v>
      </c>
      <c r="W34" s="174">
        <f t="shared" si="22"/>
        <v>4199923.7467994299</v>
      </c>
      <c r="X34" s="80">
        <f>W34-W22</f>
        <v>3629069.3240633747</v>
      </c>
    </row>
    <row r="35" spans="3:24">
      <c r="C35" s="25" t="str">
        <f t="shared" si="2"/>
        <v/>
      </c>
      <c r="D35" s="152" t="str">
        <f t="shared" si="16"/>
        <v/>
      </c>
      <c r="E35" s="27" t="e">
        <f t="shared" si="23"/>
        <v>#VALUE!</v>
      </c>
      <c r="F35" s="159" t="e">
        <f t="shared" si="10"/>
        <v>#VALUE!</v>
      </c>
      <c r="G35" s="152" t="e">
        <f t="shared" si="4"/>
        <v>#DIV/0!</v>
      </c>
      <c r="H35" s="155" t="e">
        <f t="shared" si="24"/>
        <v>#DIV/0!</v>
      </c>
      <c r="I35" s="159" t="e">
        <f t="shared" si="12"/>
        <v>#DIV/0!</v>
      </c>
      <c r="J35" s="27" t="str">
        <f t="shared" si="11"/>
        <v/>
      </c>
      <c r="S35" s="25">
        <f t="shared" si="20"/>
        <v>731021.03695590305</v>
      </c>
      <c r="T35" s="80">
        <f t="shared" si="6"/>
        <v>124273.57628250353</v>
      </c>
      <c r="U35" s="80">
        <f t="shared" si="21"/>
        <v>606747.4606733995</v>
      </c>
      <c r="V35" s="80">
        <f>SUM($U$2:U35)</f>
        <v>4076250.1705169259</v>
      </c>
      <c r="W35" s="80">
        <f t="shared" si="22"/>
        <v>4931544.7837553322</v>
      </c>
    </row>
    <row r="36" spans="3:24">
      <c r="C36" s="25" t="str">
        <f t="shared" si="2"/>
        <v/>
      </c>
      <c r="D36" s="152" t="str">
        <f t="shared" si="16"/>
        <v/>
      </c>
      <c r="E36" s="27" t="e">
        <f t="shared" si="23"/>
        <v>#VALUE!</v>
      </c>
      <c r="F36" s="159" t="e">
        <f t="shared" si="10"/>
        <v>#VALUE!</v>
      </c>
      <c r="G36" s="152" t="e">
        <f t="shared" si="4"/>
        <v>#DIV/0!</v>
      </c>
      <c r="H36" s="155" t="e">
        <f t="shared" si="24"/>
        <v>#DIV/0!</v>
      </c>
      <c r="I36" s="159" t="e">
        <f t="shared" si="12"/>
        <v>#DIV/0!</v>
      </c>
      <c r="J36" s="27" t="str">
        <f t="shared" si="11"/>
        <v/>
      </c>
      <c r="S36" s="25">
        <f t="shared" ref="S36:S47" si="25">S35+T35+600</f>
        <v>855894.6132384066</v>
      </c>
      <c r="T36" s="80">
        <f t="shared" si="6"/>
        <v>145502.08425052912</v>
      </c>
      <c r="U36" s="80">
        <f t="shared" ref="U36:U47" si="26">S36-T36</f>
        <v>710392.52898787754</v>
      </c>
      <c r="V36" s="80">
        <f>SUM($U$2:U36)</f>
        <v>4786642.6995048039</v>
      </c>
      <c r="W36" s="80">
        <f t="shared" ref="W36:W47" si="27">V36+T36+S36</f>
        <v>5788039.3969937395</v>
      </c>
    </row>
    <row r="37" spans="3:24">
      <c r="C37" s="25" t="str">
        <f t="shared" si="2"/>
        <v/>
      </c>
      <c r="D37" s="152" t="str">
        <f t="shared" si="16"/>
        <v/>
      </c>
      <c r="E37" s="27" t="e">
        <f t="shared" si="23"/>
        <v>#VALUE!</v>
      </c>
      <c r="F37" s="159" t="e">
        <f t="shared" si="10"/>
        <v>#VALUE!</v>
      </c>
      <c r="G37" s="152" t="e">
        <f t="shared" si="4"/>
        <v>#DIV/0!</v>
      </c>
      <c r="H37" s="155" t="e">
        <f t="shared" si="24"/>
        <v>#DIV/0!</v>
      </c>
      <c r="I37" s="159" t="e">
        <f t="shared" si="12"/>
        <v>#DIV/0!</v>
      </c>
      <c r="J37" s="27" t="str">
        <f t="shared" si="11"/>
        <v/>
      </c>
      <c r="S37" s="25">
        <f t="shared" si="25"/>
        <v>1001996.6974889357</v>
      </c>
      <c r="T37" s="80">
        <f t="shared" si="6"/>
        <v>170339.43857311909</v>
      </c>
      <c r="U37" s="80">
        <f t="shared" si="26"/>
        <v>831657.25891581655</v>
      </c>
      <c r="V37" s="80">
        <f>SUM($U$2:U37)</f>
        <v>5618299.9584206203</v>
      </c>
      <c r="W37" s="80">
        <f t="shared" si="27"/>
        <v>6790636.0944826752</v>
      </c>
    </row>
    <row r="38" spans="3:24">
      <c r="C38" s="25" t="str">
        <f t="shared" si="2"/>
        <v/>
      </c>
      <c r="D38" s="152" t="str">
        <f t="shared" si="16"/>
        <v/>
      </c>
      <c r="E38" s="27" t="e">
        <f t="shared" si="23"/>
        <v>#VALUE!</v>
      </c>
      <c r="F38" s="159" t="e">
        <f t="shared" si="10"/>
        <v>#VALUE!</v>
      </c>
      <c r="G38" s="152" t="e">
        <f t="shared" si="4"/>
        <v>#DIV/0!</v>
      </c>
      <c r="H38" s="155" t="e">
        <f t="shared" si="24"/>
        <v>#DIV/0!</v>
      </c>
      <c r="I38" s="159" t="e">
        <f t="shared" si="12"/>
        <v>#DIV/0!</v>
      </c>
      <c r="J38" s="27" t="str">
        <f t="shared" si="11"/>
        <v/>
      </c>
      <c r="S38" s="25">
        <f t="shared" si="25"/>
        <v>1172936.1360620547</v>
      </c>
      <c r="T38" s="80">
        <f t="shared" si="6"/>
        <v>199399.14313054929</v>
      </c>
      <c r="U38" s="80">
        <f t="shared" si="26"/>
        <v>973536.99293150543</v>
      </c>
      <c r="V38" s="80">
        <f>SUM($U$2:U38)</f>
        <v>6591836.951352126</v>
      </c>
      <c r="W38" s="80">
        <f t="shared" si="27"/>
        <v>7964172.2305447301</v>
      </c>
    </row>
    <row r="39" spans="3:24">
      <c r="C39" s="25" t="str">
        <f t="shared" si="2"/>
        <v/>
      </c>
      <c r="D39" s="152" t="str">
        <f t="shared" si="16"/>
        <v/>
      </c>
      <c r="E39" s="27" t="e">
        <f t="shared" si="23"/>
        <v>#VALUE!</v>
      </c>
      <c r="F39" s="159" t="e">
        <f t="shared" si="10"/>
        <v>#VALUE!</v>
      </c>
      <c r="G39" s="152" t="e">
        <f t="shared" si="4"/>
        <v>#DIV/0!</v>
      </c>
      <c r="H39" s="155" t="e">
        <f t="shared" si="24"/>
        <v>#DIV/0!</v>
      </c>
      <c r="I39" s="159" t="e">
        <f t="shared" si="12"/>
        <v>#DIV/0!</v>
      </c>
      <c r="J39" s="27" t="str">
        <f t="shared" si="11"/>
        <v/>
      </c>
      <c r="S39" s="25">
        <f t="shared" si="25"/>
        <v>1372935.2791926039</v>
      </c>
      <c r="T39" s="80">
        <f t="shared" si="6"/>
        <v>233398.99746274264</v>
      </c>
      <c r="U39" s="80">
        <f t="shared" si="26"/>
        <v>1139536.2817298612</v>
      </c>
      <c r="V39" s="80">
        <f>SUM($U$2:U39)</f>
        <v>7731373.2330819871</v>
      </c>
      <c r="W39" s="80">
        <f t="shared" si="27"/>
        <v>9337707.5097373333</v>
      </c>
    </row>
    <row r="40" spans="3:24">
      <c r="C40" s="25" t="str">
        <f t="shared" si="2"/>
        <v/>
      </c>
      <c r="D40" s="152" t="str">
        <f t="shared" si="16"/>
        <v/>
      </c>
      <c r="E40" s="27" t="e">
        <f t="shared" si="23"/>
        <v>#VALUE!</v>
      </c>
      <c r="F40" s="159" t="e">
        <f t="shared" si="10"/>
        <v>#VALUE!</v>
      </c>
      <c r="G40" s="152" t="e">
        <f t="shared" si="4"/>
        <v>#DIV/0!</v>
      </c>
      <c r="H40" s="155" t="e">
        <f t="shared" si="24"/>
        <v>#DIV/0!</v>
      </c>
      <c r="I40" s="159" t="e">
        <f t="shared" si="12"/>
        <v>#DIV/0!</v>
      </c>
      <c r="J40" s="27" t="str">
        <f t="shared" si="11"/>
        <v/>
      </c>
      <c r="S40" s="25">
        <f t="shared" si="25"/>
        <v>1606934.2766553466</v>
      </c>
      <c r="T40" s="80">
        <f t="shared" si="6"/>
        <v>273178.8270314089</v>
      </c>
      <c r="U40" s="80">
        <f t="shared" si="26"/>
        <v>1333755.4496239377</v>
      </c>
      <c r="V40" s="80">
        <f>SUM($U$2:U40)</f>
        <v>9065128.6827059239</v>
      </c>
      <c r="W40" s="80">
        <f t="shared" si="27"/>
        <v>10945241.786392679</v>
      </c>
    </row>
    <row r="41" spans="3:24">
      <c r="C41" s="25" t="str">
        <f t="shared" si="2"/>
        <v/>
      </c>
      <c r="D41" s="152" t="str">
        <f t="shared" si="16"/>
        <v/>
      </c>
      <c r="E41" s="27" t="e">
        <f t="shared" si="23"/>
        <v>#VALUE!</v>
      </c>
      <c r="F41" s="159" t="e">
        <f t="shared" si="10"/>
        <v>#VALUE!</v>
      </c>
      <c r="G41" s="152" t="e">
        <f t="shared" si="4"/>
        <v>#DIV/0!</v>
      </c>
      <c r="H41" s="155" t="e">
        <f t="shared" si="24"/>
        <v>#DIV/0!</v>
      </c>
      <c r="I41" s="159" t="e">
        <f t="shared" si="12"/>
        <v>#DIV/0!</v>
      </c>
      <c r="J41" s="27" t="str">
        <f t="shared" si="11"/>
        <v/>
      </c>
      <c r="S41" s="25">
        <f t="shared" si="25"/>
        <v>1880713.1036867555</v>
      </c>
      <c r="T41" s="80">
        <f t="shared" si="6"/>
        <v>319721.22762674844</v>
      </c>
      <c r="U41" s="80">
        <f t="shared" si="26"/>
        <v>1560991.8760600071</v>
      </c>
      <c r="V41" s="80">
        <f>SUM($U$2:U41)</f>
        <v>10626120.558765931</v>
      </c>
      <c r="W41" s="80">
        <f t="shared" si="27"/>
        <v>12826554.890079435</v>
      </c>
    </row>
    <row r="42" spans="3:24">
      <c r="C42" s="25" t="str">
        <f t="shared" si="2"/>
        <v/>
      </c>
      <c r="D42" s="152" t="str">
        <f t="shared" si="16"/>
        <v/>
      </c>
      <c r="E42" s="27" t="e">
        <f t="shared" si="23"/>
        <v>#VALUE!</v>
      </c>
      <c r="F42" s="159" t="e">
        <f t="shared" si="10"/>
        <v>#VALUE!</v>
      </c>
      <c r="G42" s="152" t="e">
        <f t="shared" si="4"/>
        <v>#DIV/0!</v>
      </c>
      <c r="H42" s="155" t="e">
        <f t="shared" si="24"/>
        <v>#DIV/0!</v>
      </c>
      <c r="I42" s="159" t="e">
        <f t="shared" si="12"/>
        <v>#DIV/0!</v>
      </c>
      <c r="J42" s="27" t="str">
        <f t="shared" si="11"/>
        <v/>
      </c>
      <c r="S42" s="25">
        <f t="shared" si="25"/>
        <v>2201034.3313135039</v>
      </c>
      <c r="T42" s="80">
        <f t="shared" si="6"/>
        <v>374175.83632329572</v>
      </c>
      <c r="U42" s="80">
        <f t="shared" si="26"/>
        <v>1826858.4949902082</v>
      </c>
      <c r="V42" s="80">
        <f>SUM($U$2:U42)</f>
        <v>12452979.05375614</v>
      </c>
      <c r="W42" s="80">
        <f t="shared" si="27"/>
        <v>15028189.221392939</v>
      </c>
    </row>
    <row r="43" spans="3:24">
      <c r="C43" s="25" t="str">
        <f t="shared" si="2"/>
        <v/>
      </c>
      <c r="D43" s="152" t="str">
        <f t="shared" si="16"/>
        <v/>
      </c>
      <c r="E43" s="27" t="e">
        <f t="shared" si="23"/>
        <v>#VALUE!</v>
      </c>
      <c r="F43" s="159" t="e">
        <f t="shared" si="10"/>
        <v>#VALUE!</v>
      </c>
      <c r="G43" s="152" t="e">
        <f t="shared" si="4"/>
        <v>#DIV/0!</v>
      </c>
      <c r="H43" s="155" t="e">
        <f t="shared" si="24"/>
        <v>#DIV/0!</v>
      </c>
      <c r="I43" s="159" t="e">
        <f t="shared" si="12"/>
        <v>#DIV/0!</v>
      </c>
      <c r="J43" s="27" t="str">
        <f t="shared" si="11"/>
        <v/>
      </c>
      <c r="S43" s="25">
        <f t="shared" si="25"/>
        <v>2575810.1676367996</v>
      </c>
      <c r="T43" s="80">
        <f t="shared" si="6"/>
        <v>437887.72849825595</v>
      </c>
      <c r="U43" s="80">
        <f t="shared" si="26"/>
        <v>2137922.4391385438</v>
      </c>
      <c r="V43" s="80">
        <f>SUM($U$2:U43)</f>
        <v>14590901.492894683</v>
      </c>
      <c r="W43" s="80">
        <f t="shared" si="27"/>
        <v>17604599.389029738</v>
      </c>
    </row>
    <row r="44" spans="3:24">
      <c r="C44" s="25" t="str">
        <f t="shared" si="2"/>
        <v/>
      </c>
      <c r="D44" s="152" t="str">
        <f t="shared" si="16"/>
        <v/>
      </c>
      <c r="E44" s="27" t="e">
        <f t="shared" si="23"/>
        <v>#VALUE!</v>
      </c>
      <c r="F44" s="159" t="e">
        <f t="shared" si="10"/>
        <v>#VALUE!</v>
      </c>
      <c r="G44" s="152" t="e">
        <f t="shared" si="4"/>
        <v>#DIV/0!</v>
      </c>
      <c r="H44" s="155" t="e">
        <f t="shared" si="24"/>
        <v>#DIV/0!</v>
      </c>
      <c r="I44" s="159" t="e">
        <f t="shared" si="12"/>
        <v>#DIV/0!</v>
      </c>
      <c r="J44" s="27" t="str">
        <f t="shared" si="11"/>
        <v/>
      </c>
      <c r="S44" s="25">
        <f t="shared" si="25"/>
        <v>3014297.8961350555</v>
      </c>
      <c r="T44" s="80">
        <f t="shared" si="6"/>
        <v>512430.64234295947</v>
      </c>
      <c r="U44" s="80">
        <f t="shared" si="26"/>
        <v>2501867.2537920959</v>
      </c>
      <c r="V44" s="80">
        <f>SUM($U$2:U44)</f>
        <v>17092768.746686779</v>
      </c>
      <c r="W44" s="80">
        <f t="shared" si="27"/>
        <v>20619497.285164792</v>
      </c>
    </row>
    <row r="45" spans="3:24">
      <c r="C45" s="25" t="str">
        <f t="shared" si="2"/>
        <v/>
      </c>
      <c r="D45" s="152" t="str">
        <f t="shared" si="16"/>
        <v/>
      </c>
      <c r="E45" s="27" t="e">
        <f t="shared" si="23"/>
        <v>#VALUE!</v>
      </c>
      <c r="F45" s="159" t="e">
        <f t="shared" si="10"/>
        <v>#VALUE!</v>
      </c>
      <c r="G45" s="152" t="e">
        <f t="shared" si="4"/>
        <v>#DIV/0!</v>
      </c>
      <c r="H45" s="155" t="e">
        <f t="shared" si="24"/>
        <v>#DIV/0!</v>
      </c>
      <c r="I45" s="159" t="e">
        <f t="shared" si="12"/>
        <v>#DIV/0!</v>
      </c>
      <c r="J45" s="27" t="str">
        <f t="shared" si="11"/>
        <v/>
      </c>
      <c r="S45" s="25">
        <f t="shared" si="25"/>
        <v>3527328.538478015</v>
      </c>
      <c r="T45" s="80">
        <f t="shared" si="6"/>
        <v>599645.85154126247</v>
      </c>
      <c r="U45" s="80">
        <f t="shared" si="26"/>
        <v>2927682.6869367524</v>
      </c>
      <c r="V45" s="80">
        <f>SUM($U$2:U45)</f>
        <v>20020451.43362353</v>
      </c>
      <c r="W45" s="80">
        <f t="shared" si="27"/>
        <v>24147425.823642805</v>
      </c>
    </row>
    <row r="46" spans="3:24">
      <c r="C46" s="25" t="str">
        <f t="shared" si="2"/>
        <v/>
      </c>
      <c r="D46" s="152" t="str">
        <f t="shared" si="16"/>
        <v/>
      </c>
      <c r="E46" s="27" t="e">
        <f t="shared" si="23"/>
        <v>#VALUE!</v>
      </c>
      <c r="F46" s="159" t="e">
        <f t="shared" si="10"/>
        <v>#VALUE!</v>
      </c>
      <c r="G46" s="152" t="e">
        <f t="shared" si="4"/>
        <v>#DIV/0!</v>
      </c>
      <c r="H46" s="155" t="e">
        <f t="shared" si="24"/>
        <v>#DIV/0!</v>
      </c>
      <c r="I46" s="159" t="e">
        <f t="shared" si="12"/>
        <v>#DIV/0!</v>
      </c>
      <c r="J46" s="27" t="str">
        <f t="shared" si="11"/>
        <v/>
      </c>
      <c r="S46" s="25">
        <f t="shared" si="25"/>
        <v>4127574.3900192776</v>
      </c>
      <c r="T46" s="80">
        <f t="shared" si="6"/>
        <v>701687.64630327723</v>
      </c>
      <c r="U46" s="80">
        <f t="shared" si="26"/>
        <v>3425886.7437160006</v>
      </c>
      <c r="V46" s="80">
        <f>SUM($U$2:U46)</f>
        <v>23446338.177339531</v>
      </c>
      <c r="W46" s="80">
        <f t="shared" si="27"/>
        <v>28275600.213662088</v>
      </c>
      <c r="X46" s="80">
        <f>W46-W34</f>
        <v>24075676.466862656</v>
      </c>
    </row>
    <row r="47" spans="3:24">
      <c r="C47" s="25" t="str">
        <f t="shared" si="2"/>
        <v/>
      </c>
      <c r="D47" s="152" t="str">
        <f t="shared" si="16"/>
        <v/>
      </c>
      <c r="E47" s="27" t="e">
        <f t="shared" si="23"/>
        <v>#VALUE!</v>
      </c>
      <c r="F47" s="159" t="e">
        <f t="shared" si="10"/>
        <v>#VALUE!</v>
      </c>
      <c r="G47" s="152" t="e">
        <f t="shared" si="4"/>
        <v>#DIV/0!</v>
      </c>
      <c r="H47" s="155" t="e">
        <f t="shared" si="24"/>
        <v>#DIV/0!</v>
      </c>
      <c r="I47" s="159" t="e">
        <f t="shared" si="12"/>
        <v>#DIV/0!</v>
      </c>
      <c r="J47" s="27" t="str">
        <f t="shared" si="11"/>
        <v/>
      </c>
      <c r="S47" s="25">
        <f t="shared" si="25"/>
        <v>4829862.0363225546</v>
      </c>
      <c r="T47" s="80">
        <f t="shared" si="6"/>
        <v>821076.54617483437</v>
      </c>
      <c r="U47" s="80">
        <f t="shared" si="26"/>
        <v>4008785.4901477201</v>
      </c>
      <c r="V47" s="80">
        <f>SUM($U$2:U47)</f>
        <v>27455123.667487253</v>
      </c>
      <c r="W47" s="80">
        <f t="shared" si="27"/>
        <v>33106062.249984644</v>
      </c>
      <c r="X47" s="80"/>
    </row>
    <row r="48" spans="3:24">
      <c r="C48" s="25" t="str">
        <f t="shared" si="2"/>
        <v/>
      </c>
      <c r="D48" s="152" t="str">
        <f t="shared" si="16"/>
        <v/>
      </c>
      <c r="E48" s="27" t="e">
        <f t="shared" si="23"/>
        <v>#VALUE!</v>
      </c>
      <c r="F48" s="159" t="e">
        <f t="shared" si="10"/>
        <v>#VALUE!</v>
      </c>
      <c r="G48" s="152" t="e">
        <f t="shared" si="4"/>
        <v>#DIV/0!</v>
      </c>
      <c r="H48" s="155" t="e">
        <f t="shared" si="24"/>
        <v>#DIV/0!</v>
      </c>
      <c r="I48" s="159" t="e">
        <f t="shared" si="12"/>
        <v>#DIV/0!</v>
      </c>
      <c r="J48" s="27" t="str">
        <f t="shared" si="11"/>
        <v/>
      </c>
    </row>
    <row r="49" spans="3:20">
      <c r="C49" s="25" t="str">
        <f t="shared" si="2"/>
        <v/>
      </c>
      <c r="D49" s="152" t="str">
        <f t="shared" si="16"/>
        <v/>
      </c>
      <c r="E49" s="27" t="e">
        <f t="shared" si="23"/>
        <v>#VALUE!</v>
      </c>
      <c r="F49" s="159" t="e">
        <f t="shared" si="10"/>
        <v>#VALUE!</v>
      </c>
      <c r="G49" s="152" t="e">
        <f t="shared" si="4"/>
        <v>#DIV/0!</v>
      </c>
      <c r="H49" s="155" t="e">
        <f t="shared" si="24"/>
        <v>#DIV/0!</v>
      </c>
      <c r="I49" s="159" t="e">
        <f t="shared" si="12"/>
        <v>#DIV/0!</v>
      </c>
      <c r="J49" s="27" t="str">
        <f t="shared" si="11"/>
        <v/>
      </c>
    </row>
    <row r="50" spans="3:20">
      <c r="C50" s="25" t="str">
        <f t="shared" si="2"/>
        <v/>
      </c>
      <c r="D50" s="152" t="str">
        <f t="shared" si="16"/>
        <v/>
      </c>
      <c r="E50" s="27" t="e">
        <f t="shared" ref="E50:E61" si="28">D50/C50</f>
        <v>#VALUE!</v>
      </c>
      <c r="F50" s="159" t="e">
        <f t="shared" si="10"/>
        <v>#VALUE!</v>
      </c>
      <c r="G50" s="152" t="e">
        <f t="shared" si="4"/>
        <v>#DIV/0!</v>
      </c>
      <c r="H50" s="155" t="e">
        <f t="shared" si="24"/>
        <v>#DIV/0!</v>
      </c>
      <c r="I50" s="159" t="e">
        <f t="shared" si="12"/>
        <v>#DIV/0!</v>
      </c>
      <c r="J50" s="27" t="str">
        <f t="shared" si="11"/>
        <v/>
      </c>
    </row>
    <row r="51" spans="3:20">
      <c r="C51" s="25" t="str">
        <f t="shared" si="2"/>
        <v/>
      </c>
      <c r="D51" s="152" t="str">
        <f t="shared" ref="D51:D80" si="29">IF(C51="","",STDEV(A51:A59))</f>
        <v/>
      </c>
      <c r="E51" s="27" t="e">
        <f t="shared" si="28"/>
        <v>#VALUE!</v>
      </c>
      <c r="F51" s="159" t="e">
        <f t="shared" si="10"/>
        <v>#VALUE!</v>
      </c>
      <c r="G51" s="152" t="e">
        <f t="shared" si="4"/>
        <v>#DIV/0!</v>
      </c>
      <c r="H51" s="155" t="e">
        <f t="shared" si="24"/>
        <v>#DIV/0!</v>
      </c>
      <c r="I51" s="159" t="e">
        <f t="shared" si="12"/>
        <v>#DIV/0!</v>
      </c>
      <c r="J51" s="27" t="str">
        <f t="shared" si="11"/>
        <v/>
      </c>
      <c r="S51" s="25">
        <v>1000</v>
      </c>
    </row>
    <row r="52" spans="3:20">
      <c r="C52" s="25" t="str">
        <f t="shared" si="2"/>
        <v/>
      </c>
      <c r="D52" s="152" t="str">
        <f t="shared" si="29"/>
        <v/>
      </c>
      <c r="E52" s="27" t="e">
        <f t="shared" si="28"/>
        <v>#VALUE!</v>
      </c>
      <c r="F52" s="159" t="e">
        <f t="shared" si="10"/>
        <v>#VALUE!</v>
      </c>
      <c r="G52" s="152" t="e">
        <f t="shared" si="4"/>
        <v>#DIV/0!</v>
      </c>
      <c r="H52" s="155" t="e">
        <f t="shared" si="24"/>
        <v>#DIV/0!</v>
      </c>
      <c r="I52" s="159" t="e">
        <f t="shared" si="12"/>
        <v>#DIV/0!</v>
      </c>
      <c r="J52" s="27" t="str">
        <f t="shared" si="11"/>
        <v/>
      </c>
      <c r="S52" s="25">
        <v>900</v>
      </c>
    </row>
    <row r="53" spans="3:20">
      <c r="C53" s="25" t="str">
        <f t="shared" si="2"/>
        <v/>
      </c>
      <c r="D53" s="152" t="str">
        <f t="shared" si="29"/>
        <v/>
      </c>
      <c r="E53" s="27" t="e">
        <f t="shared" si="28"/>
        <v>#VALUE!</v>
      </c>
      <c r="F53" s="159" t="e">
        <f t="shared" si="10"/>
        <v>#VALUE!</v>
      </c>
      <c r="G53" s="152" t="e">
        <f t="shared" si="4"/>
        <v>#DIV/0!</v>
      </c>
      <c r="H53" s="155" t="e">
        <f t="shared" si="24"/>
        <v>#DIV/0!</v>
      </c>
      <c r="I53" s="159" t="e">
        <f t="shared" si="12"/>
        <v>#DIV/0!</v>
      </c>
      <c r="J53" s="27" t="str">
        <f t="shared" si="11"/>
        <v/>
      </c>
      <c r="S53" s="25">
        <v>600</v>
      </c>
    </row>
    <row r="54" spans="3:20">
      <c r="C54" s="25" t="str">
        <f t="shared" si="2"/>
        <v/>
      </c>
      <c r="D54" s="152" t="str">
        <f t="shared" si="29"/>
        <v/>
      </c>
      <c r="E54" s="27" t="e">
        <f t="shared" si="28"/>
        <v>#VALUE!</v>
      </c>
      <c r="F54" s="159" t="e">
        <f t="shared" si="10"/>
        <v>#VALUE!</v>
      </c>
      <c r="G54" s="152" t="e">
        <f t="shared" si="4"/>
        <v>#DIV/0!</v>
      </c>
      <c r="H54" s="155" t="e">
        <f t="shared" si="24"/>
        <v>#DIV/0!</v>
      </c>
      <c r="I54" s="159" t="e">
        <f t="shared" si="12"/>
        <v>#DIV/0!</v>
      </c>
      <c r="J54" s="27" t="str">
        <f t="shared" si="11"/>
        <v/>
      </c>
      <c r="S54" s="25">
        <v>4000</v>
      </c>
    </row>
    <row r="55" spans="3:20">
      <c r="C55" s="25" t="str">
        <f t="shared" si="2"/>
        <v/>
      </c>
      <c r="D55" s="152" t="str">
        <f t="shared" si="29"/>
        <v/>
      </c>
      <c r="E55" s="27" t="e">
        <f t="shared" si="28"/>
        <v>#VALUE!</v>
      </c>
      <c r="F55" s="159" t="e">
        <f t="shared" si="10"/>
        <v>#VALUE!</v>
      </c>
      <c r="G55" s="152" t="e">
        <f t="shared" si="4"/>
        <v>#DIV/0!</v>
      </c>
      <c r="H55" s="155" t="e">
        <f t="shared" si="24"/>
        <v>#DIV/0!</v>
      </c>
      <c r="I55" s="159" t="e">
        <f t="shared" si="12"/>
        <v>#DIV/0!</v>
      </c>
      <c r="J55" s="27" t="str">
        <f t="shared" si="11"/>
        <v/>
      </c>
      <c r="S55" s="25">
        <f>SUM(S51:S54)</f>
        <v>6500</v>
      </c>
      <c r="T55" s="27">
        <f>S55/S57</f>
        <v>0.95588235294117652</v>
      </c>
    </row>
    <row r="56" spans="3:20">
      <c r="C56" s="25" t="str">
        <f t="shared" si="2"/>
        <v/>
      </c>
      <c r="D56" s="152" t="str">
        <f t="shared" si="29"/>
        <v/>
      </c>
      <c r="E56" s="27" t="e">
        <f t="shared" si="28"/>
        <v>#VALUE!</v>
      </c>
      <c r="F56" s="159" t="e">
        <f t="shared" si="10"/>
        <v>#VALUE!</v>
      </c>
      <c r="G56" s="152" t="e">
        <f t="shared" si="4"/>
        <v>#DIV/0!</v>
      </c>
      <c r="H56" s="155" t="e">
        <f t="shared" si="24"/>
        <v>#DIV/0!</v>
      </c>
      <c r="I56" s="159" t="e">
        <f t="shared" si="12"/>
        <v>#DIV/0!</v>
      </c>
      <c r="J56" s="27" t="str">
        <f t="shared" si="11"/>
        <v/>
      </c>
      <c r="S56" s="25">
        <v>300</v>
      </c>
      <c r="T56" s="27">
        <f>S56/S57</f>
        <v>4.4117647058823532E-2</v>
      </c>
    </row>
    <row r="57" spans="3:20">
      <c r="C57" s="25" t="str">
        <f t="shared" si="2"/>
        <v/>
      </c>
      <c r="D57" s="152" t="str">
        <f t="shared" si="29"/>
        <v/>
      </c>
      <c r="E57" s="27" t="e">
        <f t="shared" si="28"/>
        <v>#VALUE!</v>
      </c>
      <c r="F57" s="159" t="e">
        <f t="shared" si="10"/>
        <v>#VALUE!</v>
      </c>
      <c r="G57" s="152" t="e">
        <f t="shared" si="4"/>
        <v>#DIV/0!</v>
      </c>
      <c r="H57" s="155" t="e">
        <f t="shared" si="24"/>
        <v>#DIV/0!</v>
      </c>
      <c r="I57" s="159" t="e">
        <f t="shared" si="12"/>
        <v>#DIV/0!</v>
      </c>
      <c r="J57" s="27" t="str">
        <f t="shared" si="11"/>
        <v/>
      </c>
      <c r="S57" s="25">
        <f>S56+S55</f>
        <v>6800</v>
      </c>
    </row>
    <row r="58" spans="3:20">
      <c r="C58" s="25" t="str">
        <f t="shared" si="2"/>
        <v/>
      </c>
      <c r="D58" s="152" t="str">
        <f t="shared" si="29"/>
        <v/>
      </c>
      <c r="E58" s="27" t="e">
        <f t="shared" si="28"/>
        <v>#VALUE!</v>
      </c>
      <c r="F58" s="159" t="e">
        <f t="shared" si="10"/>
        <v>#VALUE!</v>
      </c>
      <c r="G58" s="152" t="e">
        <f t="shared" si="4"/>
        <v>#DIV/0!</v>
      </c>
      <c r="H58" s="155" t="e">
        <f t="shared" si="24"/>
        <v>#DIV/0!</v>
      </c>
      <c r="I58" s="159" t="e">
        <f t="shared" si="12"/>
        <v>#DIV/0!</v>
      </c>
      <c r="J58" s="27" t="str">
        <f t="shared" si="11"/>
        <v/>
      </c>
    </row>
    <row r="59" spans="3:20">
      <c r="C59" s="25" t="str">
        <f t="shared" si="2"/>
        <v/>
      </c>
      <c r="D59" s="152" t="str">
        <f t="shared" si="29"/>
        <v/>
      </c>
      <c r="E59" s="27" t="e">
        <f t="shared" si="28"/>
        <v>#VALUE!</v>
      </c>
      <c r="F59" s="159" t="e">
        <f t="shared" si="10"/>
        <v>#VALUE!</v>
      </c>
      <c r="G59" s="152" t="e">
        <f t="shared" si="4"/>
        <v>#DIV/0!</v>
      </c>
      <c r="H59" s="155" t="e">
        <f t="shared" si="24"/>
        <v>#DIV/0!</v>
      </c>
      <c r="I59" s="159" t="e">
        <f t="shared" si="12"/>
        <v>#DIV/0!</v>
      </c>
      <c r="J59" s="27" t="str">
        <f t="shared" si="11"/>
        <v/>
      </c>
      <c r="S59" s="25">
        <v>24075676</v>
      </c>
      <c r="T59" s="80">
        <f>S59*T56</f>
        <v>1062162.1764705882</v>
      </c>
    </row>
    <row r="60" spans="3:20">
      <c r="C60" s="25" t="str">
        <f t="shared" si="2"/>
        <v/>
      </c>
      <c r="D60" s="152" t="str">
        <f t="shared" si="29"/>
        <v/>
      </c>
      <c r="E60" s="27" t="e">
        <f t="shared" si="28"/>
        <v>#VALUE!</v>
      </c>
      <c r="F60" s="159" t="e">
        <f t="shared" si="10"/>
        <v>#VALUE!</v>
      </c>
      <c r="G60" s="152" t="e">
        <f t="shared" si="4"/>
        <v>#DIV/0!</v>
      </c>
      <c r="H60" s="155" t="e">
        <f t="shared" si="24"/>
        <v>#DIV/0!</v>
      </c>
      <c r="I60" s="159" t="e">
        <f t="shared" si="12"/>
        <v>#DIV/0!</v>
      </c>
      <c r="J60" s="27" t="str">
        <f t="shared" si="11"/>
        <v/>
      </c>
    </row>
    <row r="61" spans="3:20">
      <c r="C61" s="25" t="str">
        <f t="shared" si="2"/>
        <v/>
      </c>
      <c r="D61" s="152" t="str">
        <f t="shared" si="29"/>
        <v/>
      </c>
      <c r="E61" s="27" t="e">
        <f t="shared" si="28"/>
        <v>#VALUE!</v>
      </c>
      <c r="F61" s="159" t="e">
        <f t="shared" si="10"/>
        <v>#VALUE!</v>
      </c>
      <c r="G61" s="152" t="e">
        <f t="shared" si="4"/>
        <v>#DIV/0!</v>
      </c>
      <c r="H61" s="155" t="e">
        <f t="shared" si="24"/>
        <v>#DIV/0!</v>
      </c>
      <c r="I61" s="159" t="e">
        <f t="shared" si="12"/>
        <v>#DIV/0!</v>
      </c>
      <c r="J61" s="27" t="str">
        <f t="shared" si="11"/>
        <v/>
      </c>
    </row>
    <row r="62" spans="3:20">
      <c r="C62" s="25" t="str">
        <f t="shared" si="2"/>
        <v/>
      </c>
      <c r="D62" s="152" t="str">
        <f t="shared" si="29"/>
        <v/>
      </c>
      <c r="E62" s="27" t="e">
        <f t="shared" ref="E62:E67" si="30">D62/C62</f>
        <v>#VALUE!</v>
      </c>
      <c r="F62" s="159" t="e">
        <f t="shared" si="10"/>
        <v>#VALUE!</v>
      </c>
      <c r="G62" s="152" t="e">
        <f t="shared" si="4"/>
        <v>#DIV/0!</v>
      </c>
      <c r="H62" s="155" t="e">
        <f t="shared" si="24"/>
        <v>#DIV/0!</v>
      </c>
      <c r="I62" s="159" t="e">
        <f t="shared" si="12"/>
        <v>#DIV/0!</v>
      </c>
      <c r="J62" s="27" t="str">
        <f t="shared" si="11"/>
        <v/>
      </c>
    </row>
    <row r="63" spans="3:20">
      <c r="C63" s="25" t="str">
        <f t="shared" si="2"/>
        <v/>
      </c>
      <c r="D63" s="152" t="str">
        <f t="shared" si="29"/>
        <v/>
      </c>
      <c r="E63" s="27" t="e">
        <f t="shared" si="30"/>
        <v>#VALUE!</v>
      </c>
      <c r="F63" s="159" t="e">
        <f t="shared" si="10"/>
        <v>#VALUE!</v>
      </c>
      <c r="G63" s="152" t="e">
        <f t="shared" si="4"/>
        <v>#DIV/0!</v>
      </c>
      <c r="H63" s="155" t="e">
        <f t="shared" si="24"/>
        <v>#DIV/0!</v>
      </c>
      <c r="I63" s="159" t="e">
        <f t="shared" si="12"/>
        <v>#DIV/0!</v>
      </c>
      <c r="J63" s="27" t="str">
        <f t="shared" si="11"/>
        <v/>
      </c>
    </row>
    <row r="64" spans="3:20">
      <c r="C64" s="25" t="str">
        <f t="shared" si="2"/>
        <v/>
      </c>
      <c r="D64" s="152" t="str">
        <f t="shared" si="29"/>
        <v/>
      </c>
      <c r="E64" s="27" t="e">
        <f t="shared" si="30"/>
        <v>#VALUE!</v>
      </c>
      <c r="F64" s="159" t="e">
        <f t="shared" si="10"/>
        <v>#VALUE!</v>
      </c>
      <c r="G64" s="152" t="e">
        <f t="shared" si="4"/>
        <v>#DIV/0!</v>
      </c>
      <c r="H64" s="155" t="e">
        <f t="shared" si="24"/>
        <v>#DIV/0!</v>
      </c>
      <c r="I64" s="159" t="e">
        <f t="shared" si="12"/>
        <v>#DIV/0!</v>
      </c>
      <c r="J64" s="27" t="str">
        <f t="shared" si="11"/>
        <v/>
      </c>
    </row>
    <row r="65" spans="3:10">
      <c r="C65" s="25" t="str">
        <f t="shared" si="2"/>
        <v/>
      </c>
      <c r="D65" s="152" t="str">
        <f t="shared" si="29"/>
        <v/>
      </c>
      <c r="E65" s="27" t="e">
        <f t="shared" si="30"/>
        <v>#VALUE!</v>
      </c>
      <c r="F65" s="159" t="e">
        <f t="shared" si="10"/>
        <v>#VALUE!</v>
      </c>
      <c r="G65" s="152" t="e">
        <f t="shared" si="4"/>
        <v>#DIV/0!</v>
      </c>
      <c r="H65" s="155" t="e">
        <f t="shared" si="24"/>
        <v>#DIV/0!</v>
      </c>
      <c r="I65" s="159" t="e">
        <f t="shared" si="12"/>
        <v>#DIV/0!</v>
      </c>
      <c r="J65" s="27" t="str">
        <f t="shared" si="11"/>
        <v/>
      </c>
    </row>
    <row r="66" spans="3:10">
      <c r="C66" s="25" t="str">
        <f t="shared" si="2"/>
        <v/>
      </c>
      <c r="D66" s="152" t="str">
        <f t="shared" si="29"/>
        <v/>
      </c>
      <c r="E66" s="27" t="e">
        <f t="shared" si="30"/>
        <v>#VALUE!</v>
      </c>
      <c r="F66" s="159" t="e">
        <f t="shared" si="10"/>
        <v>#VALUE!</v>
      </c>
      <c r="G66" s="152" t="e">
        <f t="shared" si="4"/>
        <v>#DIV/0!</v>
      </c>
      <c r="H66" s="155" t="e">
        <f t="shared" ref="H66:H80" si="31">G66/C66</f>
        <v>#DIV/0!</v>
      </c>
      <c r="I66" s="159" t="e">
        <f t="shared" si="12"/>
        <v>#DIV/0!</v>
      </c>
      <c r="J66" s="27" t="str">
        <f t="shared" si="11"/>
        <v/>
      </c>
    </row>
    <row r="67" spans="3:10">
      <c r="C67" s="25" t="str">
        <f t="shared" ref="C67:C80" si="32">IF(COUNTBLANK(A67:A75)&gt;0,"",AVERAGE(A67:A75))</f>
        <v/>
      </c>
      <c r="D67" s="152" t="str">
        <f t="shared" si="29"/>
        <v/>
      </c>
      <c r="E67" s="27" t="e">
        <f t="shared" si="30"/>
        <v>#VALUE!</v>
      </c>
      <c r="F67" s="159" t="e">
        <f t="shared" si="10"/>
        <v>#VALUE!</v>
      </c>
      <c r="G67" s="152" t="e">
        <f t="shared" ref="G67:G80" si="33">VAR(A67:A75)</f>
        <v>#DIV/0!</v>
      </c>
      <c r="H67" s="155" t="e">
        <f t="shared" si="31"/>
        <v>#DIV/0!</v>
      </c>
      <c r="I67" s="159" t="e">
        <f t="shared" si="12"/>
        <v>#DIV/0!</v>
      </c>
      <c r="J67" s="27" t="str">
        <f t="shared" si="11"/>
        <v/>
      </c>
    </row>
    <row r="68" spans="3:10">
      <c r="C68" s="25" t="str">
        <f t="shared" si="32"/>
        <v/>
      </c>
      <c r="D68" s="152" t="str">
        <f t="shared" si="29"/>
        <v/>
      </c>
      <c r="E68" s="27" t="e">
        <f t="shared" ref="E68:E80" si="34">D68/C68</f>
        <v>#VALUE!</v>
      </c>
      <c r="F68" s="159" t="e">
        <f t="shared" ref="F68:F80" si="35">E68/E67</f>
        <v>#VALUE!</v>
      </c>
      <c r="G68" s="152" t="e">
        <f t="shared" si="33"/>
        <v>#DIV/0!</v>
      </c>
      <c r="H68" s="155" t="e">
        <f t="shared" si="31"/>
        <v>#DIV/0!</v>
      </c>
      <c r="I68" s="159" t="e">
        <f t="shared" si="12"/>
        <v>#DIV/0!</v>
      </c>
      <c r="J68" s="27" t="str">
        <f t="shared" ref="J68:J80" si="36">IF(COUNTBLANK(B68:B76)&gt;0,"",AVERAGE(B68:B76))</f>
        <v/>
      </c>
    </row>
    <row r="69" spans="3:10">
      <c r="C69" s="25" t="str">
        <f t="shared" si="32"/>
        <v/>
      </c>
      <c r="D69" s="152" t="str">
        <f t="shared" si="29"/>
        <v/>
      </c>
      <c r="E69" s="27" t="e">
        <f t="shared" si="34"/>
        <v>#VALUE!</v>
      </c>
      <c r="F69" s="159" t="e">
        <f t="shared" si="35"/>
        <v>#VALUE!</v>
      </c>
      <c r="G69" s="152" t="e">
        <f t="shared" si="33"/>
        <v>#DIV/0!</v>
      </c>
      <c r="H69" s="155" t="e">
        <f t="shared" si="31"/>
        <v>#DIV/0!</v>
      </c>
      <c r="I69" s="159" t="e">
        <f t="shared" ref="I69:I80" si="37">ROUND(H69/H68,2)</f>
        <v>#DIV/0!</v>
      </c>
      <c r="J69" s="27" t="str">
        <f t="shared" si="36"/>
        <v/>
      </c>
    </row>
    <row r="70" spans="3:10">
      <c r="C70" s="25" t="str">
        <f t="shared" si="32"/>
        <v/>
      </c>
      <c r="D70" s="152" t="str">
        <f t="shared" si="29"/>
        <v/>
      </c>
      <c r="E70" s="27" t="e">
        <f t="shared" si="34"/>
        <v>#VALUE!</v>
      </c>
      <c r="F70" s="159" t="e">
        <f t="shared" si="35"/>
        <v>#VALUE!</v>
      </c>
      <c r="G70" s="152" t="e">
        <f t="shared" si="33"/>
        <v>#DIV/0!</v>
      </c>
      <c r="H70" s="155" t="e">
        <f t="shared" si="31"/>
        <v>#DIV/0!</v>
      </c>
      <c r="I70" s="159" t="e">
        <f t="shared" si="37"/>
        <v>#DIV/0!</v>
      </c>
      <c r="J70" s="27" t="str">
        <f t="shared" si="36"/>
        <v/>
      </c>
    </row>
    <row r="71" spans="3:10">
      <c r="C71" s="25" t="str">
        <f t="shared" si="32"/>
        <v/>
      </c>
      <c r="D71" s="152" t="str">
        <f t="shared" si="29"/>
        <v/>
      </c>
      <c r="E71" s="27" t="e">
        <f t="shared" si="34"/>
        <v>#VALUE!</v>
      </c>
      <c r="F71" s="159" t="e">
        <f t="shared" si="35"/>
        <v>#VALUE!</v>
      </c>
      <c r="G71" s="152" t="e">
        <f t="shared" si="33"/>
        <v>#DIV/0!</v>
      </c>
      <c r="H71" s="155" t="e">
        <f t="shared" si="31"/>
        <v>#DIV/0!</v>
      </c>
      <c r="I71" s="159" t="e">
        <f t="shared" si="37"/>
        <v>#DIV/0!</v>
      </c>
      <c r="J71" s="27" t="str">
        <f t="shared" si="36"/>
        <v/>
      </c>
    </row>
    <row r="72" spans="3:10">
      <c r="C72" s="25" t="str">
        <f t="shared" si="32"/>
        <v/>
      </c>
      <c r="D72" s="152" t="str">
        <f t="shared" si="29"/>
        <v/>
      </c>
      <c r="E72" s="27" t="e">
        <f t="shared" si="34"/>
        <v>#VALUE!</v>
      </c>
      <c r="F72" s="159" t="e">
        <f t="shared" si="35"/>
        <v>#VALUE!</v>
      </c>
      <c r="G72" s="152" t="e">
        <f t="shared" si="33"/>
        <v>#DIV/0!</v>
      </c>
      <c r="H72" s="155" t="e">
        <f t="shared" si="31"/>
        <v>#DIV/0!</v>
      </c>
      <c r="I72" s="159" t="e">
        <f t="shared" si="37"/>
        <v>#DIV/0!</v>
      </c>
      <c r="J72" s="27" t="str">
        <f t="shared" si="36"/>
        <v/>
      </c>
    </row>
    <row r="73" spans="3:10">
      <c r="C73" s="25" t="str">
        <f t="shared" si="32"/>
        <v/>
      </c>
      <c r="D73" s="152" t="str">
        <f t="shared" si="29"/>
        <v/>
      </c>
      <c r="E73" s="27" t="e">
        <f t="shared" si="34"/>
        <v>#VALUE!</v>
      </c>
      <c r="F73" s="159" t="e">
        <f t="shared" si="35"/>
        <v>#VALUE!</v>
      </c>
      <c r="G73" s="152" t="e">
        <f t="shared" si="33"/>
        <v>#DIV/0!</v>
      </c>
      <c r="H73" s="155" t="e">
        <f t="shared" si="31"/>
        <v>#DIV/0!</v>
      </c>
      <c r="I73" s="159" t="e">
        <f t="shared" si="37"/>
        <v>#DIV/0!</v>
      </c>
      <c r="J73" s="27" t="str">
        <f t="shared" si="36"/>
        <v/>
      </c>
    </row>
    <row r="74" spans="3:10">
      <c r="C74" s="25" t="str">
        <f t="shared" si="32"/>
        <v/>
      </c>
      <c r="D74" s="152" t="str">
        <f t="shared" si="29"/>
        <v/>
      </c>
      <c r="E74" s="27" t="e">
        <f t="shared" si="34"/>
        <v>#VALUE!</v>
      </c>
      <c r="F74" s="159" t="e">
        <f t="shared" si="35"/>
        <v>#VALUE!</v>
      </c>
      <c r="G74" s="152" t="e">
        <f t="shared" si="33"/>
        <v>#DIV/0!</v>
      </c>
      <c r="H74" s="155" t="e">
        <f t="shared" si="31"/>
        <v>#DIV/0!</v>
      </c>
      <c r="I74" s="159" t="e">
        <f t="shared" si="37"/>
        <v>#DIV/0!</v>
      </c>
      <c r="J74" s="27" t="str">
        <f t="shared" si="36"/>
        <v/>
      </c>
    </row>
    <row r="75" spans="3:10">
      <c r="C75" s="25" t="str">
        <f t="shared" si="32"/>
        <v/>
      </c>
      <c r="D75" s="152" t="str">
        <f t="shared" si="29"/>
        <v/>
      </c>
      <c r="E75" s="27" t="e">
        <f t="shared" si="34"/>
        <v>#VALUE!</v>
      </c>
      <c r="F75" s="159" t="e">
        <f t="shared" si="35"/>
        <v>#VALUE!</v>
      </c>
      <c r="G75" s="152" t="e">
        <f t="shared" si="33"/>
        <v>#DIV/0!</v>
      </c>
      <c r="H75" s="155" t="e">
        <f t="shared" si="31"/>
        <v>#DIV/0!</v>
      </c>
      <c r="I75" s="159" t="e">
        <f t="shared" si="37"/>
        <v>#DIV/0!</v>
      </c>
      <c r="J75" s="27" t="str">
        <f t="shared" si="36"/>
        <v/>
      </c>
    </row>
    <row r="76" spans="3:10">
      <c r="C76" s="25" t="str">
        <f t="shared" si="32"/>
        <v/>
      </c>
      <c r="D76" s="152" t="str">
        <f t="shared" si="29"/>
        <v/>
      </c>
      <c r="E76" s="27" t="e">
        <f t="shared" si="34"/>
        <v>#VALUE!</v>
      </c>
      <c r="F76" s="159" t="e">
        <f t="shared" si="35"/>
        <v>#VALUE!</v>
      </c>
      <c r="G76" s="152" t="e">
        <f t="shared" si="33"/>
        <v>#DIV/0!</v>
      </c>
      <c r="H76" s="155" t="e">
        <f t="shared" si="31"/>
        <v>#DIV/0!</v>
      </c>
      <c r="I76" s="159" t="e">
        <f t="shared" si="37"/>
        <v>#DIV/0!</v>
      </c>
      <c r="J76" s="27" t="str">
        <f t="shared" si="36"/>
        <v/>
      </c>
    </row>
    <row r="77" spans="3:10">
      <c r="C77" s="25" t="str">
        <f t="shared" si="32"/>
        <v/>
      </c>
      <c r="D77" s="152" t="str">
        <f t="shared" si="29"/>
        <v/>
      </c>
      <c r="E77" s="27" t="e">
        <f t="shared" si="34"/>
        <v>#VALUE!</v>
      </c>
      <c r="F77" s="159" t="e">
        <f t="shared" si="35"/>
        <v>#VALUE!</v>
      </c>
      <c r="G77" s="152" t="e">
        <f t="shared" si="33"/>
        <v>#DIV/0!</v>
      </c>
      <c r="H77" s="155" t="e">
        <f t="shared" si="31"/>
        <v>#DIV/0!</v>
      </c>
      <c r="I77" s="159" t="e">
        <f t="shared" si="37"/>
        <v>#DIV/0!</v>
      </c>
      <c r="J77" s="27" t="str">
        <f t="shared" si="36"/>
        <v/>
      </c>
    </row>
    <row r="78" spans="3:10">
      <c r="C78" s="25" t="str">
        <f t="shared" si="32"/>
        <v/>
      </c>
      <c r="D78" s="152" t="str">
        <f t="shared" si="29"/>
        <v/>
      </c>
      <c r="E78" s="27" t="e">
        <f t="shared" si="34"/>
        <v>#VALUE!</v>
      </c>
      <c r="F78" s="159" t="e">
        <f t="shared" si="35"/>
        <v>#VALUE!</v>
      </c>
      <c r="G78" s="152" t="e">
        <f t="shared" si="33"/>
        <v>#DIV/0!</v>
      </c>
      <c r="H78" s="155" t="e">
        <f t="shared" si="31"/>
        <v>#DIV/0!</v>
      </c>
      <c r="I78" s="159" t="e">
        <f t="shared" si="37"/>
        <v>#DIV/0!</v>
      </c>
      <c r="J78" s="27" t="str">
        <f t="shared" si="36"/>
        <v/>
      </c>
    </row>
    <row r="79" spans="3:10">
      <c r="C79" s="25" t="str">
        <f t="shared" si="32"/>
        <v/>
      </c>
      <c r="D79" s="152" t="str">
        <f t="shared" si="29"/>
        <v/>
      </c>
      <c r="E79" s="27" t="e">
        <f t="shared" si="34"/>
        <v>#VALUE!</v>
      </c>
      <c r="F79" s="159" t="e">
        <f t="shared" si="35"/>
        <v>#VALUE!</v>
      </c>
      <c r="G79" s="152" t="e">
        <f t="shared" si="33"/>
        <v>#DIV/0!</v>
      </c>
      <c r="H79" s="155" t="e">
        <f t="shared" si="31"/>
        <v>#DIV/0!</v>
      </c>
      <c r="I79" s="159" t="e">
        <f t="shared" si="37"/>
        <v>#DIV/0!</v>
      </c>
      <c r="J79" s="27" t="str">
        <f t="shared" si="36"/>
        <v/>
      </c>
    </row>
    <row r="80" spans="3:10">
      <c r="C80" s="25" t="str">
        <f t="shared" si="32"/>
        <v/>
      </c>
      <c r="D80" s="152" t="str">
        <f t="shared" si="29"/>
        <v/>
      </c>
      <c r="E80" s="27" t="e">
        <f t="shared" si="34"/>
        <v>#VALUE!</v>
      </c>
      <c r="F80" s="159" t="e">
        <f t="shared" si="35"/>
        <v>#VALUE!</v>
      </c>
      <c r="G80" s="152" t="e">
        <f t="shared" si="33"/>
        <v>#DIV/0!</v>
      </c>
      <c r="H80" s="155" t="e">
        <f t="shared" si="31"/>
        <v>#DIV/0!</v>
      </c>
      <c r="I80" s="159" t="e">
        <f t="shared" si="37"/>
        <v>#DIV/0!</v>
      </c>
      <c r="J80" s="27" t="str">
        <f t="shared" si="36"/>
        <v/>
      </c>
    </row>
  </sheetData>
  <conditionalFormatting sqref="I4:I80">
    <cfRule type="cellIs" dxfId="1" priority="1" operator="lessThanOrEqual">
      <formula>0.5</formula>
    </cfRule>
    <cfRule type="cellIs" dxfId="0" priority="2" operator="greaterThanOrEqual">
      <formula>2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240"/>
  <sheetViews>
    <sheetView topLeftCell="A109" workbookViewId="0">
      <selection activeCell="K124" sqref="K124"/>
    </sheetView>
  </sheetViews>
  <sheetFormatPr defaultRowHeight="12.75"/>
  <cols>
    <col min="2" max="2" width="11.140625" customWidth="1"/>
    <col min="9" max="9" width="11.28515625" customWidth="1"/>
    <col min="11" max="11" width="12.7109375" customWidth="1"/>
    <col min="15" max="15" width="9.140625" style="1"/>
  </cols>
  <sheetData>
    <row r="1" spans="1:16">
      <c r="A1" s="172" t="s">
        <v>199</v>
      </c>
      <c r="B1" s="173" t="s">
        <v>210</v>
      </c>
      <c r="C1" s="172" t="s">
        <v>200</v>
      </c>
      <c r="D1" s="172" t="s">
        <v>201</v>
      </c>
      <c r="E1" s="172" t="s">
        <v>202</v>
      </c>
      <c r="F1" s="172" t="s">
        <v>203</v>
      </c>
      <c r="G1" s="172" t="s">
        <v>211</v>
      </c>
      <c r="H1" s="172" t="s">
        <v>212</v>
      </c>
      <c r="I1" s="173" t="s">
        <v>213</v>
      </c>
      <c r="J1" s="172" t="s">
        <v>216</v>
      </c>
      <c r="K1" s="172" t="s">
        <v>204</v>
      </c>
      <c r="L1" s="172" t="s">
        <v>205</v>
      </c>
      <c r="M1" s="172" t="s">
        <v>206</v>
      </c>
      <c r="N1" s="172" t="s">
        <v>207</v>
      </c>
      <c r="O1" s="172" t="s">
        <v>15</v>
      </c>
    </row>
    <row r="2" spans="1:16">
      <c r="A2" s="165">
        <v>21157802</v>
      </c>
      <c r="B2" s="164" t="s">
        <v>220</v>
      </c>
      <c r="C2" s="165" t="s">
        <v>193</v>
      </c>
      <c r="D2" s="165">
        <v>2.46</v>
      </c>
      <c r="E2" s="165" t="s">
        <v>192</v>
      </c>
      <c r="F2" s="165">
        <v>0.82203999999999999</v>
      </c>
      <c r="G2" s="165">
        <v>0.82130000000000003</v>
      </c>
      <c r="H2" s="165">
        <v>0</v>
      </c>
      <c r="I2" s="164" t="s">
        <v>221</v>
      </c>
      <c r="J2" s="165">
        <v>0.82130000000000003</v>
      </c>
      <c r="K2" s="201" t="s">
        <v>295</v>
      </c>
      <c r="L2" s="191"/>
      <c r="M2" s="163">
        <v>-27.81</v>
      </c>
      <c r="N2" s="165">
        <v>-307.51</v>
      </c>
      <c r="O2" s="202">
        <f>Tabela9[[#This Row],[Swap]]+Tabela9[[#This Row],[Profit]]</f>
        <v>-335.32</v>
      </c>
      <c r="P2">
        <v>-27.81</v>
      </c>
    </row>
    <row r="3" spans="1:16">
      <c r="A3" s="167"/>
      <c r="B3" s="200"/>
      <c r="C3" s="200"/>
      <c r="D3" s="200"/>
      <c r="E3" s="200"/>
      <c r="F3" s="200"/>
      <c r="G3" s="200"/>
      <c r="H3" s="200"/>
      <c r="I3" s="200"/>
      <c r="J3" s="167">
        <v>8855</v>
      </c>
      <c r="K3" s="163">
        <v>0</v>
      </c>
      <c r="L3" s="201"/>
      <c r="M3" s="201"/>
      <c r="N3" s="171"/>
      <c r="O3" s="202">
        <f>Tabela9[[#This Row],[Swap]]+Tabela9[[#This Row],[Profit]]</f>
        <v>0</v>
      </c>
    </row>
    <row r="4" spans="1:16">
      <c r="A4" s="163">
        <v>21160825</v>
      </c>
      <c r="B4" s="162" t="s">
        <v>222</v>
      </c>
      <c r="C4" s="163" t="s">
        <v>193</v>
      </c>
      <c r="D4" s="163">
        <v>1.03</v>
      </c>
      <c r="E4" s="163" t="s">
        <v>195</v>
      </c>
      <c r="F4" s="168">
        <v>168537</v>
      </c>
      <c r="G4" s="168">
        <v>168930</v>
      </c>
      <c r="H4" s="163">
        <v>0</v>
      </c>
      <c r="I4" s="162" t="s">
        <v>223</v>
      </c>
      <c r="J4" s="168">
        <v>168930</v>
      </c>
      <c r="K4" s="199" t="s">
        <v>295</v>
      </c>
      <c r="L4" s="163">
        <v>0</v>
      </c>
      <c r="M4" s="163">
        <v>-3.4</v>
      </c>
      <c r="N4" s="163">
        <v>404.79</v>
      </c>
      <c r="O4" s="202">
        <f>Tabela9[[#This Row],[Swap]]+Tabela9[[#This Row],[Profit]]</f>
        <v>401.39000000000004</v>
      </c>
    </row>
    <row r="5" spans="1:16">
      <c r="A5" s="163"/>
      <c r="B5" s="199"/>
      <c r="C5" s="199"/>
      <c r="D5" s="199"/>
      <c r="E5" s="199"/>
      <c r="F5" s="199"/>
      <c r="G5" s="199"/>
      <c r="H5" s="199"/>
      <c r="I5" s="199"/>
      <c r="J5" s="163">
        <v>8855</v>
      </c>
      <c r="K5" s="165">
        <v>0</v>
      </c>
      <c r="L5" s="199"/>
      <c r="M5" s="199"/>
      <c r="N5" s="171"/>
      <c r="O5" s="202">
        <f>Tabela9[[#This Row],[Swap]]+Tabela9[[#This Row],[Profit]]</f>
        <v>0</v>
      </c>
    </row>
    <row r="6" spans="1:16">
      <c r="A6" s="165">
        <v>21148469</v>
      </c>
      <c r="B6" s="164" t="s">
        <v>224</v>
      </c>
      <c r="C6" s="165" t="s">
        <v>191</v>
      </c>
      <c r="D6" s="165">
        <v>1.5</v>
      </c>
      <c r="E6" s="165" t="s">
        <v>198</v>
      </c>
      <c r="F6" s="166">
        <v>109612</v>
      </c>
      <c r="G6" s="166">
        <v>109910</v>
      </c>
      <c r="H6" s="165">
        <v>0</v>
      </c>
      <c r="I6" s="164" t="s">
        <v>225</v>
      </c>
      <c r="J6" s="166">
        <v>109910</v>
      </c>
      <c r="K6" s="201" t="s">
        <v>326</v>
      </c>
      <c r="L6" s="165">
        <v>0</v>
      </c>
      <c r="M6" s="165">
        <v>-5.04</v>
      </c>
      <c r="N6" s="165">
        <v>-406.7</v>
      </c>
      <c r="O6" s="202">
        <f>Tabela9[[#This Row],[Swap]]+Tabela9[[#This Row],[Profit]]</f>
        <v>-411.74</v>
      </c>
    </row>
    <row r="7" spans="1:16">
      <c r="A7" s="167"/>
      <c r="B7" s="200"/>
      <c r="C7" s="200"/>
      <c r="D7" s="200"/>
      <c r="E7" s="200"/>
      <c r="F7" s="200"/>
      <c r="G7" s="200"/>
      <c r="H7" s="200"/>
      <c r="I7" s="200"/>
      <c r="J7" s="167">
        <v>8855</v>
      </c>
      <c r="K7" s="163">
        <v>0</v>
      </c>
      <c r="L7" s="201"/>
      <c r="M7" s="201"/>
      <c r="N7" s="171"/>
      <c r="O7" s="202">
        <f>Tabela9[[#This Row],[Swap]]+Tabela9[[#This Row],[Profit]]</f>
        <v>0</v>
      </c>
    </row>
    <row r="8" spans="1:16">
      <c r="A8" s="163">
        <v>21171678</v>
      </c>
      <c r="B8" s="162" t="s">
        <v>226</v>
      </c>
      <c r="C8" s="163" t="s">
        <v>193</v>
      </c>
      <c r="D8" s="163">
        <v>1.24</v>
      </c>
      <c r="E8" s="163" t="s">
        <v>198</v>
      </c>
      <c r="F8" s="168">
        <v>109816</v>
      </c>
      <c r="G8" s="168">
        <v>109780</v>
      </c>
      <c r="H8" s="163">
        <v>0</v>
      </c>
      <c r="I8" s="162" t="s">
        <v>227</v>
      </c>
      <c r="J8" s="168">
        <v>109780</v>
      </c>
      <c r="K8" s="199" t="s">
        <v>295</v>
      </c>
      <c r="L8" s="163">
        <v>0</v>
      </c>
      <c r="M8" s="163">
        <v>0</v>
      </c>
      <c r="N8" s="163">
        <v>-40.659999999999997</v>
      </c>
      <c r="O8" s="202">
        <f>Tabela9[[#This Row],[Swap]]+Tabela9[[#This Row],[Profit]]</f>
        <v>-40.659999999999997</v>
      </c>
    </row>
    <row r="9" spans="1:16">
      <c r="A9" s="163"/>
      <c r="B9" s="199"/>
      <c r="C9" s="199"/>
      <c r="D9" s="199"/>
      <c r="E9" s="199"/>
      <c r="F9" s="199"/>
      <c r="G9" s="199"/>
      <c r="H9" s="199"/>
      <c r="I9" s="199"/>
      <c r="J9" s="163">
        <v>8855</v>
      </c>
      <c r="K9" s="165">
        <v>0</v>
      </c>
      <c r="L9" s="199"/>
      <c r="M9" s="199"/>
      <c r="N9" s="171"/>
      <c r="O9" s="202">
        <f>Tabela9[[#This Row],[Swap]]+Tabela9[[#This Row],[Profit]]</f>
        <v>0</v>
      </c>
    </row>
    <row r="10" spans="1:16">
      <c r="A10" s="165">
        <v>21158522</v>
      </c>
      <c r="B10" s="164" t="s">
        <v>228</v>
      </c>
      <c r="C10" s="165" t="s">
        <v>193</v>
      </c>
      <c r="D10" s="165">
        <v>0.61</v>
      </c>
      <c r="E10" s="165" t="s">
        <v>194</v>
      </c>
      <c r="F10" s="166">
        <v>138382</v>
      </c>
      <c r="G10" s="166">
        <v>138650</v>
      </c>
      <c r="H10" s="165">
        <v>0</v>
      </c>
      <c r="I10" s="164" t="s">
        <v>229</v>
      </c>
      <c r="J10" s="166">
        <v>138650</v>
      </c>
      <c r="K10" s="201" t="s">
        <v>295</v>
      </c>
      <c r="L10" s="165">
        <v>0</v>
      </c>
      <c r="M10" s="165">
        <v>-4.32</v>
      </c>
      <c r="N10" s="165">
        <v>163.47999999999999</v>
      </c>
      <c r="O10" s="202">
        <f>Tabela9[[#This Row],[Swap]]+Tabela9[[#This Row],[Profit]]</f>
        <v>159.16</v>
      </c>
    </row>
    <row r="11" spans="1:16">
      <c r="A11" s="167"/>
      <c r="B11" s="200"/>
      <c r="C11" s="200"/>
      <c r="D11" s="200"/>
      <c r="E11" s="200"/>
      <c r="F11" s="200"/>
      <c r="G11" s="200"/>
      <c r="H11" s="200"/>
      <c r="I11" s="200"/>
      <c r="J11" s="167">
        <v>8855</v>
      </c>
      <c r="K11" s="163">
        <v>0</v>
      </c>
      <c r="L11" s="201"/>
      <c r="M11" s="201"/>
      <c r="N11" s="171"/>
      <c r="O11" s="202">
        <f>Tabela9[[#This Row],[Swap]]+Tabela9[[#This Row],[Profit]]</f>
        <v>0</v>
      </c>
    </row>
    <row r="12" spans="1:16">
      <c r="A12" s="163">
        <v>21174930</v>
      </c>
      <c r="B12" s="162" t="s">
        <v>230</v>
      </c>
      <c r="C12" s="163" t="s">
        <v>191</v>
      </c>
      <c r="D12" s="163">
        <v>2.2000000000000002</v>
      </c>
      <c r="E12" s="163" t="s">
        <v>192</v>
      </c>
      <c r="F12" s="163">
        <v>0.82042999999999999</v>
      </c>
      <c r="G12" s="163">
        <v>0.82130000000000003</v>
      </c>
      <c r="H12" s="163">
        <v>0</v>
      </c>
      <c r="I12" s="162" t="s">
        <v>231</v>
      </c>
      <c r="J12" s="163">
        <v>0.82130000000000003</v>
      </c>
      <c r="K12" s="199" t="s">
        <v>295</v>
      </c>
      <c r="L12" s="163">
        <v>0</v>
      </c>
      <c r="M12" s="163">
        <v>0</v>
      </c>
      <c r="N12" s="163">
        <v>-323.39999999999998</v>
      </c>
      <c r="O12" s="202">
        <f>Tabela9[[#This Row],[Swap]]+Tabela9[[#This Row],[Profit]]</f>
        <v>-323.39999999999998</v>
      </c>
    </row>
    <row r="13" spans="1:16">
      <c r="A13" s="163"/>
      <c r="B13" s="199"/>
      <c r="C13" s="199"/>
      <c r="D13" s="199"/>
      <c r="E13" s="199"/>
      <c r="F13" s="199"/>
      <c r="G13" s="199"/>
      <c r="H13" s="199"/>
      <c r="I13" s="199"/>
      <c r="J13" s="163">
        <v>8855</v>
      </c>
      <c r="K13" s="165">
        <v>0</v>
      </c>
      <c r="L13" s="199"/>
      <c r="M13" s="199"/>
      <c r="N13" s="171"/>
      <c r="O13" s="202">
        <f>Tabela9[[#This Row],[Swap]]+Tabela9[[#This Row],[Profit]]</f>
        <v>0</v>
      </c>
    </row>
    <row r="14" spans="1:16">
      <c r="A14" s="165">
        <v>21158520</v>
      </c>
      <c r="B14" s="164" t="s">
        <v>232</v>
      </c>
      <c r="C14" s="165" t="s">
        <v>191</v>
      </c>
      <c r="D14" s="165">
        <v>0.94</v>
      </c>
      <c r="E14" s="165" t="s">
        <v>196</v>
      </c>
      <c r="F14" s="165">
        <v>0.88124000000000002</v>
      </c>
      <c r="G14" s="165">
        <v>0.88060000000000005</v>
      </c>
      <c r="H14" s="165">
        <v>0</v>
      </c>
      <c r="I14" s="164" t="s">
        <v>233</v>
      </c>
      <c r="J14" s="165">
        <v>0.88060000000000005</v>
      </c>
      <c r="K14" s="201" t="s">
        <v>295</v>
      </c>
      <c r="L14" s="165">
        <v>0</v>
      </c>
      <c r="M14" s="165">
        <v>-7.4</v>
      </c>
      <c r="N14" s="165">
        <v>68.319999999999993</v>
      </c>
      <c r="O14" s="202">
        <f>Tabela9[[#This Row],[Swap]]+Tabela9[[#This Row],[Profit]]</f>
        <v>60.919999999999995</v>
      </c>
    </row>
    <row r="15" spans="1:16">
      <c r="A15" s="167"/>
      <c r="B15" s="200"/>
      <c r="C15" s="200"/>
      <c r="D15" s="200"/>
      <c r="E15" s="200"/>
      <c r="F15" s="200"/>
      <c r="G15" s="200"/>
      <c r="H15" s="200"/>
      <c r="I15" s="200"/>
      <c r="J15" s="167">
        <v>8855</v>
      </c>
      <c r="K15" s="163">
        <v>0</v>
      </c>
      <c r="L15" s="201"/>
      <c r="M15" s="201"/>
      <c r="N15" s="171"/>
      <c r="O15" s="202">
        <f>Tabela9[[#This Row],[Swap]]+Tabela9[[#This Row],[Profit]]</f>
        <v>0</v>
      </c>
    </row>
    <row r="16" spans="1:16">
      <c r="A16" s="163">
        <v>21180476</v>
      </c>
      <c r="B16" s="162" t="s">
        <v>234</v>
      </c>
      <c r="C16" s="163" t="s">
        <v>191</v>
      </c>
      <c r="D16" s="163">
        <v>2.63</v>
      </c>
      <c r="E16" s="163" t="s">
        <v>192</v>
      </c>
      <c r="F16" s="163">
        <v>0.82013999999999998</v>
      </c>
      <c r="G16" s="163">
        <v>0.82110000000000005</v>
      </c>
      <c r="H16" s="163">
        <v>0</v>
      </c>
      <c r="I16" s="162" t="s">
        <v>235</v>
      </c>
      <c r="J16" s="163">
        <v>0.82110000000000005</v>
      </c>
      <c r="K16" s="199" t="s">
        <v>295</v>
      </c>
      <c r="L16" s="163">
        <v>0</v>
      </c>
      <c r="M16" s="163">
        <v>0</v>
      </c>
      <c r="N16" s="163">
        <v>-426.15</v>
      </c>
      <c r="O16" s="202">
        <f>Tabela9[[#This Row],[Swap]]+Tabela9[[#This Row],[Profit]]</f>
        <v>-426.15</v>
      </c>
    </row>
    <row r="17" spans="1:15">
      <c r="A17" s="163"/>
      <c r="B17" s="199"/>
      <c r="C17" s="199"/>
      <c r="D17" s="199"/>
      <c r="E17" s="199"/>
      <c r="F17" s="199"/>
      <c r="G17" s="199"/>
      <c r="H17" s="199"/>
      <c r="I17" s="199"/>
      <c r="J17" s="163">
        <v>8855</v>
      </c>
      <c r="K17" s="165">
        <v>0</v>
      </c>
      <c r="L17" s="199"/>
      <c r="M17" s="199"/>
      <c r="N17" s="171"/>
      <c r="O17" s="202">
        <f>Tabela9[[#This Row],[Swap]]+Tabela9[[#This Row],[Profit]]</f>
        <v>0</v>
      </c>
    </row>
    <row r="18" spans="1:15">
      <c r="A18" s="165">
        <v>21181872</v>
      </c>
      <c r="B18" s="164" t="s">
        <v>236</v>
      </c>
      <c r="C18" s="165" t="s">
        <v>193</v>
      </c>
      <c r="D18" s="165">
        <v>1.86</v>
      </c>
      <c r="E18" s="165" t="s">
        <v>198</v>
      </c>
      <c r="F18" s="166">
        <v>109785</v>
      </c>
      <c r="G18" s="166">
        <v>109580</v>
      </c>
      <c r="H18" s="165">
        <v>0</v>
      </c>
      <c r="I18" s="164" t="s">
        <v>237</v>
      </c>
      <c r="J18" s="166">
        <v>109580</v>
      </c>
      <c r="K18" s="201" t="s">
        <v>295</v>
      </c>
      <c r="L18" s="165">
        <v>0</v>
      </c>
      <c r="M18" s="165">
        <v>0</v>
      </c>
      <c r="N18" s="165">
        <v>-347.96</v>
      </c>
      <c r="O18" s="202">
        <f>Tabela9[[#This Row],[Swap]]+Tabela9[[#This Row],[Profit]]</f>
        <v>-347.96</v>
      </c>
    </row>
    <row r="19" spans="1:15">
      <c r="A19" s="167"/>
      <c r="B19" s="200"/>
      <c r="C19" s="200"/>
      <c r="D19" s="200"/>
      <c r="E19" s="200"/>
      <c r="F19" s="200"/>
      <c r="G19" s="200"/>
      <c r="H19" s="200"/>
      <c r="I19" s="200"/>
      <c r="J19" s="167">
        <v>8855</v>
      </c>
      <c r="K19" s="163">
        <v>0</v>
      </c>
      <c r="L19" s="201"/>
      <c r="M19" s="201"/>
      <c r="N19" s="171"/>
      <c r="O19" s="202">
        <f>Tabela9[[#This Row],[Swap]]+Tabela9[[#This Row],[Profit]]</f>
        <v>0</v>
      </c>
    </row>
    <row r="20" spans="1:15">
      <c r="A20" s="163">
        <v>21171909</v>
      </c>
      <c r="B20" s="162" t="s">
        <v>238</v>
      </c>
      <c r="C20" s="163" t="s">
        <v>191</v>
      </c>
      <c r="D20" s="163">
        <v>1.64</v>
      </c>
      <c r="E20" s="163" t="s">
        <v>197</v>
      </c>
      <c r="F20" s="163">
        <v>0.92681000000000002</v>
      </c>
      <c r="G20" s="163">
        <v>0.9264</v>
      </c>
      <c r="H20" s="163">
        <v>0</v>
      </c>
      <c r="I20" s="162" t="s">
        <v>239</v>
      </c>
      <c r="J20" s="163">
        <v>0.9264</v>
      </c>
      <c r="K20" s="199" t="s">
        <v>295</v>
      </c>
      <c r="L20" s="163">
        <v>0</v>
      </c>
      <c r="M20" s="163">
        <v>-13.75</v>
      </c>
      <c r="N20" s="163">
        <v>67.239999999999995</v>
      </c>
      <c r="O20" s="202">
        <f>Tabela9[[#This Row],[Swap]]+Tabela9[[#This Row],[Profit]]</f>
        <v>53.489999999999995</v>
      </c>
    </row>
    <row r="21" spans="1:15">
      <c r="A21" s="163"/>
      <c r="B21" s="199"/>
      <c r="C21" s="199"/>
      <c r="D21" s="199"/>
      <c r="E21" s="199"/>
      <c r="F21" s="199"/>
      <c r="G21" s="199"/>
      <c r="H21" s="199"/>
      <c r="I21" s="199"/>
      <c r="J21" s="163">
        <v>8855</v>
      </c>
      <c r="K21" s="165">
        <v>0</v>
      </c>
      <c r="L21" s="199"/>
      <c r="M21" s="199"/>
      <c r="N21" s="171"/>
      <c r="O21" s="202">
        <f>Tabela9[[#This Row],[Swap]]+Tabela9[[#This Row],[Profit]]</f>
        <v>0</v>
      </c>
    </row>
    <row r="22" spans="1:15">
      <c r="A22" s="165">
        <v>21183447</v>
      </c>
      <c r="B22" s="164" t="s">
        <v>240</v>
      </c>
      <c r="C22" s="165" t="s">
        <v>193</v>
      </c>
      <c r="D22" s="165">
        <v>1.43</v>
      </c>
      <c r="E22" s="165" t="s">
        <v>198</v>
      </c>
      <c r="F22" s="166">
        <v>110045</v>
      </c>
      <c r="G22" s="166">
        <v>109780</v>
      </c>
      <c r="H22" s="165">
        <v>0</v>
      </c>
      <c r="I22" s="164" t="s">
        <v>241</v>
      </c>
      <c r="J22" s="166">
        <v>109780</v>
      </c>
      <c r="K22" s="201" t="s">
        <v>295</v>
      </c>
      <c r="L22" s="165">
        <v>0</v>
      </c>
      <c r="M22" s="165">
        <v>0</v>
      </c>
      <c r="N22" s="165">
        <v>-345.19</v>
      </c>
      <c r="O22" s="202">
        <f>Tabela9[[#This Row],[Swap]]+Tabela9[[#This Row],[Profit]]</f>
        <v>-345.19</v>
      </c>
    </row>
    <row r="23" spans="1:15">
      <c r="A23" s="167"/>
      <c r="B23" s="200"/>
      <c r="C23" s="200"/>
      <c r="D23" s="200"/>
      <c r="E23" s="200"/>
      <c r="F23" s="200"/>
      <c r="G23" s="200"/>
      <c r="H23" s="200"/>
      <c r="I23" s="200"/>
      <c r="J23" s="167">
        <v>8855</v>
      </c>
      <c r="K23" s="163">
        <v>0</v>
      </c>
      <c r="L23" s="201"/>
      <c r="M23" s="201"/>
      <c r="N23" s="171"/>
      <c r="O23" s="202">
        <f>Tabela9[[#This Row],[Swap]]+Tabela9[[#This Row],[Profit]]</f>
        <v>0</v>
      </c>
    </row>
    <row r="24" spans="1:15">
      <c r="A24" s="163">
        <v>21184928</v>
      </c>
      <c r="B24" s="162" t="s">
        <v>242</v>
      </c>
      <c r="C24" s="163" t="s">
        <v>193</v>
      </c>
      <c r="D24" s="163">
        <v>0.66</v>
      </c>
      <c r="E24" s="163" t="s">
        <v>196</v>
      </c>
      <c r="F24" s="163">
        <v>0.88414999999999999</v>
      </c>
      <c r="G24" s="163">
        <v>0.8821</v>
      </c>
      <c r="H24" s="163">
        <v>0</v>
      </c>
      <c r="I24" s="162" t="s">
        <v>243</v>
      </c>
      <c r="J24" s="163">
        <v>0.8821</v>
      </c>
      <c r="K24" s="199" t="s">
        <v>295</v>
      </c>
      <c r="L24" s="163">
        <v>0</v>
      </c>
      <c r="M24" s="163">
        <v>0</v>
      </c>
      <c r="N24" s="163">
        <v>-153.38</v>
      </c>
      <c r="O24" s="202">
        <f>Tabela9[[#This Row],[Swap]]+Tabela9[[#This Row],[Profit]]</f>
        <v>-153.38</v>
      </c>
    </row>
    <row r="25" spans="1:15">
      <c r="A25" s="163"/>
      <c r="B25" s="199"/>
      <c r="C25" s="199"/>
      <c r="D25" s="199"/>
      <c r="E25" s="199"/>
      <c r="F25" s="199"/>
      <c r="G25" s="199"/>
      <c r="H25" s="199"/>
      <c r="I25" s="199"/>
      <c r="J25" s="163">
        <v>8855</v>
      </c>
      <c r="K25" s="165">
        <v>0</v>
      </c>
      <c r="L25" s="199"/>
      <c r="M25" s="199"/>
      <c r="N25" s="171"/>
      <c r="O25" s="202">
        <f>Tabela9[[#This Row],[Swap]]+Tabela9[[#This Row],[Profit]]</f>
        <v>0</v>
      </c>
    </row>
    <row r="26" spans="1:15">
      <c r="A26" s="165">
        <v>21181969</v>
      </c>
      <c r="B26" s="164" t="s">
        <v>244</v>
      </c>
      <c r="C26" s="165" t="s">
        <v>191</v>
      </c>
      <c r="D26" s="165">
        <v>1.5</v>
      </c>
      <c r="E26" s="165" t="s">
        <v>195</v>
      </c>
      <c r="F26" s="166">
        <v>168671</v>
      </c>
      <c r="G26" s="166">
        <v>168800</v>
      </c>
      <c r="H26" s="165">
        <v>0</v>
      </c>
      <c r="I26" s="164" t="s">
        <v>245</v>
      </c>
      <c r="J26" s="166">
        <v>168800</v>
      </c>
      <c r="K26" s="201" t="s">
        <v>295</v>
      </c>
      <c r="L26" s="165">
        <v>0</v>
      </c>
      <c r="M26" s="165">
        <v>0</v>
      </c>
      <c r="N26" s="165">
        <v>-193.5</v>
      </c>
      <c r="O26" s="202">
        <f>Tabela9[[#This Row],[Swap]]+Tabela9[[#This Row],[Profit]]</f>
        <v>-193.5</v>
      </c>
    </row>
    <row r="27" spans="1:15">
      <c r="A27" s="167"/>
      <c r="B27" s="200"/>
      <c r="C27" s="200"/>
      <c r="D27" s="200"/>
      <c r="E27" s="200"/>
      <c r="F27" s="200"/>
      <c r="G27" s="200"/>
      <c r="H27" s="200"/>
      <c r="I27" s="200"/>
      <c r="J27" s="167">
        <v>8855</v>
      </c>
      <c r="K27" s="163">
        <v>0</v>
      </c>
      <c r="L27" s="201"/>
      <c r="M27" s="201"/>
      <c r="N27" s="171"/>
      <c r="O27" s="202">
        <f>Tabela9[[#This Row],[Swap]]+Tabela9[[#This Row],[Profit]]</f>
        <v>0</v>
      </c>
    </row>
    <row r="28" spans="1:15">
      <c r="A28" s="163">
        <v>21191074</v>
      </c>
      <c r="B28" s="162" t="s">
        <v>246</v>
      </c>
      <c r="C28" s="163" t="s">
        <v>193</v>
      </c>
      <c r="D28" s="163">
        <v>1.99</v>
      </c>
      <c r="E28" s="163" t="s">
        <v>192</v>
      </c>
      <c r="F28" s="163">
        <v>0.82264999999999999</v>
      </c>
      <c r="G28" s="163">
        <v>0.82130000000000003</v>
      </c>
      <c r="H28" s="163">
        <v>0</v>
      </c>
      <c r="I28" s="162" t="s">
        <v>247</v>
      </c>
      <c r="J28" s="163">
        <v>0.82130000000000003</v>
      </c>
      <c r="K28" s="199" t="s">
        <v>295</v>
      </c>
      <c r="L28" s="163">
        <v>0</v>
      </c>
      <c r="M28" s="163">
        <v>-7.5</v>
      </c>
      <c r="N28" s="163">
        <v>-453.41</v>
      </c>
      <c r="O28" s="202">
        <f>Tabela9[[#This Row],[Swap]]+Tabela9[[#This Row],[Profit]]</f>
        <v>-460.91</v>
      </c>
    </row>
    <row r="29" spans="1:15">
      <c r="A29" s="163"/>
      <c r="B29" s="199"/>
      <c r="C29" s="199"/>
      <c r="D29" s="199"/>
      <c r="E29" s="199"/>
      <c r="F29" s="199"/>
      <c r="G29" s="199"/>
      <c r="H29" s="199"/>
      <c r="I29" s="199"/>
      <c r="J29" s="163">
        <v>8855</v>
      </c>
      <c r="K29" s="165">
        <v>0</v>
      </c>
      <c r="L29" s="199"/>
      <c r="M29" s="199"/>
      <c r="N29" s="171"/>
      <c r="O29" s="202">
        <f>Tabela9[[#This Row],[Swap]]+Tabela9[[#This Row],[Profit]]</f>
        <v>0</v>
      </c>
    </row>
    <row r="30" spans="1:15">
      <c r="A30" s="165">
        <v>21198835</v>
      </c>
      <c r="B30" s="164" t="s">
        <v>248</v>
      </c>
      <c r="C30" s="165" t="s">
        <v>193</v>
      </c>
      <c r="D30" s="165">
        <v>2.4900000000000002</v>
      </c>
      <c r="E30" s="165" t="s">
        <v>192</v>
      </c>
      <c r="F30" s="165">
        <v>0.82335999999999998</v>
      </c>
      <c r="G30" s="165">
        <v>0.82240000000000002</v>
      </c>
      <c r="H30" s="165">
        <v>0</v>
      </c>
      <c r="I30" s="164" t="s">
        <v>249</v>
      </c>
      <c r="J30" s="165">
        <v>0.82240000000000002</v>
      </c>
      <c r="K30" s="201" t="s">
        <v>295</v>
      </c>
      <c r="L30" s="165">
        <v>0</v>
      </c>
      <c r="M30" s="165">
        <v>0</v>
      </c>
      <c r="N30" s="165">
        <v>-403.26</v>
      </c>
      <c r="O30" s="202">
        <f>Tabela9[[#This Row],[Swap]]+Tabela9[[#This Row],[Profit]]</f>
        <v>-403.26</v>
      </c>
    </row>
    <row r="31" spans="1:15">
      <c r="A31" s="167"/>
      <c r="B31" s="200"/>
      <c r="C31" s="200"/>
      <c r="D31" s="200"/>
      <c r="E31" s="200"/>
      <c r="F31" s="200"/>
      <c r="G31" s="200"/>
      <c r="H31" s="200"/>
      <c r="I31" s="200"/>
      <c r="J31" s="167">
        <v>8855</v>
      </c>
      <c r="K31" s="163">
        <v>0</v>
      </c>
      <c r="L31" s="201"/>
      <c r="M31" s="201"/>
      <c r="N31" s="171"/>
      <c r="O31" s="202">
        <f>Tabela9[[#This Row],[Swap]]+Tabela9[[#This Row],[Profit]]</f>
        <v>0</v>
      </c>
    </row>
    <row r="32" spans="1:15">
      <c r="A32" s="163">
        <v>21205928</v>
      </c>
      <c r="B32" s="162" t="s">
        <v>250</v>
      </c>
      <c r="C32" s="163" t="s">
        <v>193</v>
      </c>
      <c r="D32" s="163">
        <v>3.39</v>
      </c>
      <c r="E32" s="163" t="s">
        <v>194</v>
      </c>
      <c r="F32" s="168">
        <v>138845</v>
      </c>
      <c r="G32" s="168">
        <v>138750</v>
      </c>
      <c r="H32" s="163">
        <v>0</v>
      </c>
      <c r="I32" s="162" t="s">
        <v>251</v>
      </c>
      <c r="J32" s="168">
        <v>138750</v>
      </c>
      <c r="K32" s="199" t="s">
        <v>295</v>
      </c>
      <c r="L32" s="163">
        <v>0</v>
      </c>
      <c r="M32" s="163">
        <v>0</v>
      </c>
      <c r="N32" s="163">
        <v>-322.05</v>
      </c>
      <c r="O32" s="202">
        <f>Tabela9[[#This Row],[Swap]]+Tabela9[[#This Row],[Profit]]</f>
        <v>-322.05</v>
      </c>
    </row>
    <row r="33" spans="1:15">
      <c r="A33" s="163"/>
      <c r="B33" s="199"/>
      <c r="C33" s="199"/>
      <c r="D33" s="199"/>
      <c r="E33" s="199"/>
      <c r="F33" s="199"/>
      <c r="G33" s="199"/>
      <c r="H33" s="199"/>
      <c r="I33" s="199"/>
      <c r="J33" s="163">
        <v>8855</v>
      </c>
      <c r="K33" s="165">
        <v>0</v>
      </c>
      <c r="L33" s="199"/>
      <c r="M33" s="199"/>
      <c r="N33" s="171"/>
      <c r="O33" s="202">
        <f>Tabela9[[#This Row],[Swap]]+Tabela9[[#This Row],[Profit]]</f>
        <v>0</v>
      </c>
    </row>
    <row r="34" spans="1:15">
      <c r="A34" s="165">
        <v>21205878</v>
      </c>
      <c r="B34" s="164" t="s">
        <v>252</v>
      </c>
      <c r="C34" s="165" t="s">
        <v>191</v>
      </c>
      <c r="D34" s="165">
        <v>3.11</v>
      </c>
      <c r="E34" s="165" t="s">
        <v>192</v>
      </c>
      <c r="F34" s="165">
        <v>0.82184000000000001</v>
      </c>
      <c r="G34" s="165">
        <v>0.82240000000000002</v>
      </c>
      <c r="H34" s="165">
        <v>0</v>
      </c>
      <c r="I34" s="164" t="s">
        <v>253</v>
      </c>
      <c r="J34" s="165">
        <v>0.82240000000000002</v>
      </c>
      <c r="K34" s="201" t="s">
        <v>295</v>
      </c>
      <c r="L34" s="165">
        <v>0</v>
      </c>
      <c r="M34" s="165">
        <v>0</v>
      </c>
      <c r="N34" s="165">
        <v>-294.60000000000002</v>
      </c>
      <c r="O34" s="202">
        <f>Tabela9[[#This Row],[Swap]]+Tabela9[[#This Row],[Profit]]</f>
        <v>-294.60000000000002</v>
      </c>
    </row>
    <row r="35" spans="1:15">
      <c r="A35" s="167"/>
      <c r="B35" s="200"/>
      <c r="C35" s="200"/>
      <c r="D35" s="200"/>
      <c r="E35" s="200"/>
      <c r="F35" s="200"/>
      <c r="G35" s="200"/>
      <c r="H35" s="200"/>
      <c r="I35" s="200"/>
      <c r="J35" s="167">
        <v>8855</v>
      </c>
      <c r="K35" s="163">
        <v>0</v>
      </c>
      <c r="L35" s="201"/>
      <c r="M35" s="201"/>
      <c r="N35" s="171"/>
      <c r="O35" s="202">
        <f>Tabela9[[#This Row],[Swap]]+Tabela9[[#This Row],[Profit]]</f>
        <v>0</v>
      </c>
    </row>
    <row r="36" spans="1:15">
      <c r="A36" s="163">
        <v>21091913</v>
      </c>
      <c r="B36" s="162" t="s">
        <v>254</v>
      </c>
      <c r="C36" s="163" t="s">
        <v>191</v>
      </c>
      <c r="D36" s="163">
        <v>8.27</v>
      </c>
      <c r="E36" s="163" t="s">
        <v>197</v>
      </c>
      <c r="F36" s="163">
        <v>0.93108999999999997</v>
      </c>
      <c r="G36" s="163">
        <v>0.93469999999999998</v>
      </c>
      <c r="H36" s="163">
        <v>0</v>
      </c>
      <c r="I36" s="162" t="s">
        <v>255</v>
      </c>
      <c r="J36" s="163">
        <v>0.93469999999999998</v>
      </c>
      <c r="K36" s="199" t="s">
        <v>339</v>
      </c>
      <c r="L36" s="163">
        <v>0</v>
      </c>
      <c r="M36" s="163">
        <v>-901.61</v>
      </c>
      <c r="N36" s="163">
        <v>-2985.47</v>
      </c>
      <c r="O36" s="202">
        <f>Tabela9[[#This Row],[Swap]]+Tabela9[[#This Row],[Profit]]</f>
        <v>-3887.08</v>
      </c>
    </row>
    <row r="37" spans="1:15">
      <c r="A37" s="163"/>
      <c r="B37" s="199"/>
      <c r="C37" s="199"/>
      <c r="D37" s="199"/>
      <c r="E37" s="199"/>
      <c r="F37" s="199"/>
      <c r="G37" s="199"/>
      <c r="H37" s="199"/>
      <c r="I37" s="199"/>
      <c r="J37" s="163">
        <v>8855</v>
      </c>
      <c r="K37" s="165">
        <v>0</v>
      </c>
      <c r="L37" s="199"/>
      <c r="M37" s="199"/>
      <c r="N37" s="171"/>
      <c r="O37" s="202">
        <f>Tabela9[[#This Row],[Swap]]+Tabela9[[#This Row],[Profit]]</f>
        <v>0</v>
      </c>
    </row>
    <row r="38" spans="1:15">
      <c r="A38" s="165">
        <v>21206836</v>
      </c>
      <c r="B38" s="164" t="s">
        <v>256</v>
      </c>
      <c r="C38" s="165" t="s">
        <v>193</v>
      </c>
      <c r="D38" s="165">
        <v>2.62</v>
      </c>
      <c r="E38" s="165" t="s">
        <v>194</v>
      </c>
      <c r="F38" s="166">
        <v>138887</v>
      </c>
      <c r="G38" s="166">
        <v>139130</v>
      </c>
      <c r="H38" s="165">
        <v>0</v>
      </c>
      <c r="I38" s="164" t="s">
        <v>257</v>
      </c>
      <c r="J38" s="166">
        <v>139130</v>
      </c>
      <c r="K38" s="201" t="s">
        <v>295</v>
      </c>
      <c r="L38" s="165">
        <v>0</v>
      </c>
      <c r="M38" s="165">
        <v>-6.22</v>
      </c>
      <c r="N38" s="165">
        <v>636.66</v>
      </c>
      <c r="O38" s="202">
        <f>Tabela9[[#This Row],[Swap]]+Tabela9[[#This Row],[Profit]]</f>
        <v>630.43999999999994</v>
      </c>
    </row>
    <row r="39" spans="1:15">
      <c r="A39" s="167"/>
      <c r="B39" s="200"/>
      <c r="C39" s="200"/>
      <c r="D39" s="200"/>
      <c r="E39" s="200"/>
      <c r="F39" s="200"/>
      <c r="G39" s="200"/>
      <c r="H39" s="200"/>
      <c r="I39" s="200"/>
      <c r="J39" s="167">
        <v>8855</v>
      </c>
      <c r="K39" s="163">
        <v>0</v>
      </c>
      <c r="L39" s="201"/>
      <c r="M39" s="201"/>
      <c r="N39" s="171"/>
      <c r="O39" s="202">
        <f>Tabela9[[#This Row],[Swap]]+Tabela9[[#This Row],[Profit]]</f>
        <v>0</v>
      </c>
    </row>
    <row r="40" spans="1:15">
      <c r="A40" s="163">
        <v>21212490</v>
      </c>
      <c r="B40" s="162" t="s">
        <v>258</v>
      </c>
      <c r="C40" s="163" t="s">
        <v>191</v>
      </c>
      <c r="D40" s="163">
        <v>1.71</v>
      </c>
      <c r="E40" s="163" t="s">
        <v>192</v>
      </c>
      <c r="F40" s="163">
        <v>0.81952999999999998</v>
      </c>
      <c r="G40" s="163">
        <v>0.82120000000000004</v>
      </c>
      <c r="H40" s="163">
        <v>0</v>
      </c>
      <c r="I40" s="162" t="s">
        <v>259</v>
      </c>
      <c r="J40" s="163">
        <v>0.82120000000000004</v>
      </c>
      <c r="K40" s="199" t="s">
        <v>295</v>
      </c>
      <c r="L40" s="163">
        <v>0</v>
      </c>
      <c r="M40" s="163">
        <v>-1.47</v>
      </c>
      <c r="N40" s="163">
        <v>-484.35</v>
      </c>
      <c r="O40" s="202">
        <f>Tabela9[[#This Row],[Swap]]+Tabela9[[#This Row],[Profit]]</f>
        <v>-485.82000000000005</v>
      </c>
    </row>
    <row r="41" spans="1:15">
      <c r="A41" s="163"/>
      <c r="B41" s="199"/>
      <c r="C41" s="199"/>
      <c r="D41" s="199"/>
      <c r="E41" s="199"/>
      <c r="F41" s="199"/>
      <c r="G41" s="199"/>
      <c r="H41" s="199"/>
      <c r="I41" s="199"/>
      <c r="J41" s="163">
        <v>8855</v>
      </c>
      <c r="K41" s="165">
        <v>0</v>
      </c>
      <c r="L41" s="199"/>
      <c r="M41" s="199"/>
      <c r="N41" s="171"/>
      <c r="O41" s="202">
        <f>Tabela9[[#This Row],[Swap]]+Tabela9[[#This Row],[Profit]]</f>
        <v>0</v>
      </c>
    </row>
    <row r="42" spans="1:15">
      <c r="A42" s="165">
        <v>21219976</v>
      </c>
      <c r="B42" s="164" t="s">
        <v>260</v>
      </c>
      <c r="C42" s="165" t="s">
        <v>191</v>
      </c>
      <c r="D42" s="165">
        <v>1.84</v>
      </c>
      <c r="E42" s="165" t="s">
        <v>194</v>
      </c>
      <c r="F42" s="166">
        <v>139133</v>
      </c>
      <c r="G42" s="166">
        <v>139310</v>
      </c>
      <c r="H42" s="165">
        <v>0</v>
      </c>
      <c r="I42" s="164" t="s">
        <v>261</v>
      </c>
      <c r="J42" s="166">
        <v>139310</v>
      </c>
      <c r="K42" s="201" t="s">
        <v>295</v>
      </c>
      <c r="L42" s="165">
        <v>0</v>
      </c>
      <c r="M42" s="165">
        <v>0</v>
      </c>
      <c r="N42" s="165">
        <v>-325.68</v>
      </c>
      <c r="O42" s="202">
        <f>Tabela9[[#This Row],[Swap]]+Tabela9[[#This Row],[Profit]]</f>
        <v>-325.68</v>
      </c>
    </row>
    <row r="43" spans="1:15">
      <c r="A43" s="167"/>
      <c r="B43" s="200"/>
      <c r="C43" s="200"/>
      <c r="D43" s="200"/>
      <c r="E43" s="200"/>
      <c r="F43" s="200"/>
      <c r="G43" s="200"/>
      <c r="H43" s="200"/>
      <c r="I43" s="200"/>
      <c r="J43" s="167">
        <v>8855</v>
      </c>
      <c r="K43" s="163">
        <v>0</v>
      </c>
      <c r="L43" s="201"/>
      <c r="M43" s="201"/>
      <c r="N43" s="171"/>
      <c r="O43" s="202">
        <f>Tabela9[[#This Row],[Swap]]+Tabela9[[#This Row],[Profit]]</f>
        <v>0</v>
      </c>
    </row>
    <row r="44" spans="1:15">
      <c r="A44" s="163">
        <v>21207137</v>
      </c>
      <c r="B44" s="162" t="s">
        <v>262</v>
      </c>
      <c r="C44" s="163" t="s">
        <v>191</v>
      </c>
      <c r="D44" s="163">
        <v>2.82</v>
      </c>
      <c r="E44" s="163" t="s">
        <v>196</v>
      </c>
      <c r="F44" s="163">
        <v>0.87665999999999999</v>
      </c>
      <c r="G44" s="163">
        <v>0.87570000000000003</v>
      </c>
      <c r="H44" s="163">
        <v>0</v>
      </c>
      <c r="I44" s="162" t="s">
        <v>263</v>
      </c>
      <c r="J44" s="163">
        <v>0.87570000000000003</v>
      </c>
      <c r="K44" s="199" t="s">
        <v>295</v>
      </c>
      <c r="L44" s="163">
        <v>0</v>
      </c>
      <c r="M44" s="163">
        <v>-5.55</v>
      </c>
      <c r="N44" s="163">
        <v>309.14999999999998</v>
      </c>
      <c r="O44" s="202">
        <f>Tabela9[[#This Row],[Swap]]+Tabela9[[#This Row],[Profit]]</f>
        <v>303.59999999999997</v>
      </c>
    </row>
    <row r="45" spans="1:15">
      <c r="A45" s="163"/>
      <c r="B45" s="199"/>
      <c r="C45" s="199"/>
      <c r="D45" s="199"/>
      <c r="E45" s="199"/>
      <c r="F45" s="199"/>
      <c r="G45" s="199"/>
      <c r="H45" s="199"/>
      <c r="I45" s="199"/>
      <c r="J45" s="163">
        <v>8855</v>
      </c>
      <c r="K45" s="165">
        <v>0</v>
      </c>
      <c r="L45" s="199"/>
      <c r="M45" s="199"/>
      <c r="N45" s="171"/>
      <c r="O45" s="202">
        <f>Tabela9[[#This Row],[Swap]]+Tabela9[[#This Row],[Profit]]</f>
        <v>0</v>
      </c>
    </row>
    <row r="46" spans="1:15">
      <c r="A46" s="165">
        <v>21209678</v>
      </c>
      <c r="B46" s="164" t="s">
        <v>264</v>
      </c>
      <c r="C46" s="165" t="s">
        <v>191</v>
      </c>
      <c r="D46" s="165">
        <v>1.35</v>
      </c>
      <c r="E46" s="165" t="s">
        <v>196</v>
      </c>
      <c r="F46" s="165">
        <v>0.87314000000000003</v>
      </c>
      <c r="G46" s="165">
        <v>0.87580000000000002</v>
      </c>
      <c r="H46" s="165">
        <v>0</v>
      </c>
      <c r="I46" s="164" t="s">
        <v>265</v>
      </c>
      <c r="J46" s="165">
        <v>0.87580000000000002</v>
      </c>
      <c r="K46" s="201" t="s">
        <v>326</v>
      </c>
      <c r="L46" s="165">
        <v>0</v>
      </c>
      <c r="M46" s="165">
        <v>-2.66</v>
      </c>
      <c r="N46" s="165">
        <v>-410.03</v>
      </c>
      <c r="O46" s="202">
        <f>Tabela9[[#This Row],[Swap]]+Tabela9[[#This Row],[Profit]]</f>
        <v>-412.69</v>
      </c>
    </row>
    <row r="47" spans="1:15">
      <c r="A47" s="167"/>
      <c r="B47" s="200"/>
      <c r="C47" s="200"/>
      <c r="D47" s="200"/>
      <c r="E47" s="200"/>
      <c r="F47" s="200"/>
      <c r="G47" s="200"/>
      <c r="H47" s="200"/>
      <c r="I47" s="200"/>
      <c r="J47" s="167">
        <v>8855</v>
      </c>
      <c r="K47" s="163">
        <v>0</v>
      </c>
      <c r="L47" s="201"/>
      <c r="M47" s="201"/>
      <c r="N47" s="171"/>
      <c r="O47" s="202">
        <f>Tabela9[[#This Row],[Swap]]+Tabela9[[#This Row],[Profit]]</f>
        <v>0</v>
      </c>
    </row>
    <row r="48" spans="1:15">
      <c r="A48" s="163">
        <v>21201662</v>
      </c>
      <c r="B48" s="162" t="s">
        <v>266</v>
      </c>
      <c r="C48" s="163" t="s">
        <v>191</v>
      </c>
      <c r="D48" s="163">
        <v>1.68</v>
      </c>
      <c r="E48" s="163" t="s">
        <v>198</v>
      </c>
      <c r="F48" s="168">
        <v>109513</v>
      </c>
      <c r="G48" s="168">
        <v>109080</v>
      </c>
      <c r="H48" s="163">
        <v>0</v>
      </c>
      <c r="I48" s="162" t="s">
        <v>267</v>
      </c>
      <c r="J48" s="168">
        <v>109080</v>
      </c>
      <c r="K48" s="199" t="s">
        <v>295</v>
      </c>
      <c r="L48" s="163">
        <v>0</v>
      </c>
      <c r="M48" s="163">
        <v>-2.82</v>
      </c>
      <c r="N48" s="163">
        <v>666.89</v>
      </c>
      <c r="O48" s="202">
        <f>Tabela9[[#This Row],[Swap]]+Tabela9[[#This Row],[Profit]]</f>
        <v>664.06999999999994</v>
      </c>
    </row>
    <row r="49" spans="1:15">
      <c r="A49" s="163"/>
      <c r="B49" s="199"/>
      <c r="C49" s="199"/>
      <c r="D49" s="199"/>
      <c r="E49" s="199"/>
      <c r="F49" s="199"/>
      <c r="G49" s="199"/>
      <c r="H49" s="199"/>
      <c r="I49" s="199"/>
      <c r="J49" s="163">
        <v>8855</v>
      </c>
      <c r="K49" s="165">
        <v>0</v>
      </c>
      <c r="L49" s="199"/>
      <c r="M49" s="199"/>
      <c r="N49" s="171"/>
      <c r="O49" s="202">
        <f>Tabela9[[#This Row],[Swap]]+Tabela9[[#This Row],[Profit]]</f>
        <v>0</v>
      </c>
    </row>
    <row r="50" spans="1:15">
      <c r="A50" s="165">
        <v>21205435</v>
      </c>
      <c r="B50" s="164" t="s">
        <v>268</v>
      </c>
      <c r="C50" s="165" t="s">
        <v>193</v>
      </c>
      <c r="D50" s="165">
        <v>2.31</v>
      </c>
      <c r="E50" s="165" t="s">
        <v>195</v>
      </c>
      <c r="F50" s="166">
        <v>168795</v>
      </c>
      <c r="G50" s="166">
        <v>169510</v>
      </c>
      <c r="H50" s="165">
        <v>0</v>
      </c>
      <c r="I50" s="164" t="s">
        <v>269</v>
      </c>
      <c r="J50" s="166">
        <v>169510</v>
      </c>
      <c r="K50" s="201" t="s">
        <v>295</v>
      </c>
      <c r="L50" s="165">
        <v>0</v>
      </c>
      <c r="M50" s="165">
        <v>-2.56</v>
      </c>
      <c r="N50" s="165">
        <v>1651.65</v>
      </c>
      <c r="O50" s="202">
        <f>Tabela9[[#This Row],[Swap]]+Tabela9[[#This Row],[Profit]]</f>
        <v>1649.0900000000001</v>
      </c>
    </row>
    <row r="51" spans="1:15">
      <c r="A51" s="167"/>
      <c r="B51" s="200"/>
      <c r="C51" s="200"/>
      <c r="D51" s="200"/>
      <c r="E51" s="200"/>
      <c r="F51" s="200"/>
      <c r="G51" s="200"/>
      <c r="H51" s="200"/>
      <c r="I51" s="200"/>
      <c r="J51" s="167">
        <v>8855</v>
      </c>
      <c r="K51" s="163">
        <v>0</v>
      </c>
      <c r="L51" s="201"/>
      <c r="M51" s="201"/>
      <c r="N51" s="171"/>
      <c r="O51" s="202">
        <f>Tabela9[[#This Row],[Swap]]+Tabela9[[#This Row],[Profit]]</f>
        <v>0</v>
      </c>
    </row>
    <row r="52" spans="1:15">
      <c r="A52" s="163">
        <v>21209666</v>
      </c>
      <c r="B52" s="162" t="s">
        <v>270</v>
      </c>
      <c r="C52" s="163" t="s">
        <v>193</v>
      </c>
      <c r="D52" s="163">
        <v>1.1200000000000001</v>
      </c>
      <c r="E52" s="163" t="s">
        <v>194</v>
      </c>
      <c r="F52" s="168">
        <v>139363</v>
      </c>
      <c r="G52" s="168">
        <v>139080</v>
      </c>
      <c r="H52" s="163">
        <v>0</v>
      </c>
      <c r="I52" s="162" t="s">
        <v>271</v>
      </c>
      <c r="J52" s="168">
        <v>139080</v>
      </c>
      <c r="K52" s="199" t="s">
        <v>326</v>
      </c>
      <c r="L52" s="163">
        <v>0</v>
      </c>
      <c r="M52" s="163">
        <v>-10.62</v>
      </c>
      <c r="N52" s="163">
        <v>-316.95999999999998</v>
      </c>
      <c r="O52" s="202">
        <f>Tabela9[[#This Row],[Swap]]+Tabela9[[#This Row],[Profit]]</f>
        <v>-327.58</v>
      </c>
    </row>
    <row r="53" spans="1:15">
      <c r="A53" s="163"/>
      <c r="B53" s="199"/>
      <c r="C53" s="199"/>
      <c r="D53" s="199"/>
      <c r="E53" s="199"/>
      <c r="F53" s="199"/>
      <c r="G53" s="199"/>
      <c r="H53" s="199"/>
      <c r="I53" s="199"/>
      <c r="J53" s="163">
        <v>8855</v>
      </c>
      <c r="K53" s="165">
        <v>0</v>
      </c>
      <c r="L53" s="199"/>
      <c r="M53" s="199"/>
      <c r="N53" s="171"/>
      <c r="O53" s="202">
        <f>Tabela9[[#This Row],[Swap]]+Tabela9[[#This Row],[Profit]]</f>
        <v>0</v>
      </c>
    </row>
    <row r="54" spans="1:15">
      <c r="A54" s="165">
        <v>21224099</v>
      </c>
      <c r="B54" s="164" t="s">
        <v>272</v>
      </c>
      <c r="C54" s="165" t="s">
        <v>193</v>
      </c>
      <c r="D54" s="165">
        <v>1.22</v>
      </c>
      <c r="E54" s="165" t="s">
        <v>198</v>
      </c>
      <c r="F54" s="166">
        <v>109082</v>
      </c>
      <c r="G54" s="166">
        <v>108810</v>
      </c>
      <c r="H54" s="165">
        <v>0</v>
      </c>
      <c r="I54" s="164" t="s">
        <v>273</v>
      </c>
      <c r="J54" s="166">
        <v>108810</v>
      </c>
      <c r="K54" s="201" t="s">
        <v>295</v>
      </c>
      <c r="L54" s="165">
        <v>0</v>
      </c>
      <c r="M54" s="165">
        <v>-22.14</v>
      </c>
      <c r="N54" s="165">
        <v>-304.97000000000003</v>
      </c>
      <c r="O54" s="202">
        <f>Tabela9[[#This Row],[Swap]]+Tabela9[[#This Row],[Profit]]</f>
        <v>-327.11</v>
      </c>
    </row>
    <row r="55" spans="1:15">
      <c r="A55" s="167"/>
      <c r="B55" s="200"/>
      <c r="C55" s="200"/>
      <c r="D55" s="200"/>
      <c r="E55" s="200"/>
      <c r="F55" s="200"/>
      <c r="G55" s="200"/>
      <c r="H55" s="200"/>
      <c r="I55" s="200"/>
      <c r="J55" s="167">
        <v>8855</v>
      </c>
      <c r="K55" s="163">
        <v>0</v>
      </c>
      <c r="L55" s="201"/>
      <c r="M55" s="201"/>
      <c r="N55" s="171"/>
      <c r="O55" s="202">
        <f>Tabela9[[#This Row],[Swap]]+Tabela9[[#This Row],[Profit]]</f>
        <v>0</v>
      </c>
    </row>
    <row r="56" spans="1:15">
      <c r="A56" s="163">
        <v>21223561</v>
      </c>
      <c r="B56" s="162" t="s">
        <v>274</v>
      </c>
      <c r="C56" s="163" t="s">
        <v>193</v>
      </c>
      <c r="D56" s="163">
        <v>1.32</v>
      </c>
      <c r="E56" s="163" t="s">
        <v>196</v>
      </c>
      <c r="F56" s="163">
        <v>0.87570999999999999</v>
      </c>
      <c r="G56" s="163">
        <v>0.87480000000000002</v>
      </c>
      <c r="H56" s="163">
        <v>0</v>
      </c>
      <c r="I56" s="162" t="s">
        <v>275</v>
      </c>
      <c r="J56" s="163">
        <v>0.87480000000000002</v>
      </c>
      <c r="K56" s="199" t="s">
        <v>295</v>
      </c>
      <c r="L56" s="163">
        <v>0</v>
      </c>
      <c r="M56" s="163">
        <v>-5.41</v>
      </c>
      <c r="N56" s="163">
        <v>-137.31</v>
      </c>
      <c r="O56" s="202">
        <f>Tabela9[[#This Row],[Swap]]+Tabela9[[#This Row],[Profit]]</f>
        <v>-142.72</v>
      </c>
    </row>
    <row r="57" spans="1:15">
      <c r="A57" s="163"/>
      <c r="B57" s="199"/>
      <c r="C57" s="199"/>
      <c r="D57" s="199"/>
      <c r="E57" s="199"/>
      <c r="F57" s="199"/>
      <c r="G57" s="199"/>
      <c r="H57" s="199"/>
      <c r="I57" s="199"/>
      <c r="J57" s="163">
        <v>8855</v>
      </c>
      <c r="K57" s="165">
        <v>0</v>
      </c>
      <c r="L57" s="199"/>
      <c r="M57" s="199"/>
      <c r="N57" s="171"/>
      <c r="O57" s="202">
        <f>Tabela9[[#This Row],[Swap]]+Tabela9[[#This Row],[Profit]]</f>
        <v>0</v>
      </c>
    </row>
    <row r="58" spans="1:15">
      <c r="A58" s="165">
        <v>21226546</v>
      </c>
      <c r="B58" s="164" t="s">
        <v>276</v>
      </c>
      <c r="C58" s="165" t="s">
        <v>191</v>
      </c>
      <c r="D58" s="165">
        <v>1.28</v>
      </c>
      <c r="E58" s="165" t="s">
        <v>195</v>
      </c>
      <c r="F58" s="166">
        <v>169511</v>
      </c>
      <c r="G58" s="166">
        <v>169730</v>
      </c>
      <c r="H58" s="165">
        <v>0</v>
      </c>
      <c r="I58" s="164" t="s">
        <v>277</v>
      </c>
      <c r="J58" s="166">
        <v>169730</v>
      </c>
      <c r="K58" s="201" t="s">
        <v>295</v>
      </c>
      <c r="L58" s="165">
        <v>0</v>
      </c>
      <c r="M58" s="165">
        <v>-17.45</v>
      </c>
      <c r="N58" s="165">
        <v>-280.32</v>
      </c>
      <c r="O58" s="202">
        <f>Tabela9[[#This Row],[Swap]]+Tabela9[[#This Row],[Profit]]</f>
        <v>-297.77</v>
      </c>
    </row>
    <row r="59" spans="1:15">
      <c r="A59" s="167"/>
      <c r="B59" s="200"/>
      <c r="C59" s="200"/>
      <c r="D59" s="200"/>
      <c r="E59" s="200"/>
      <c r="F59" s="200"/>
      <c r="G59" s="200"/>
      <c r="H59" s="200"/>
      <c r="I59" s="200"/>
      <c r="J59" s="167">
        <v>8855</v>
      </c>
      <c r="K59" s="163">
        <v>0</v>
      </c>
      <c r="L59" s="201"/>
      <c r="M59" s="201"/>
      <c r="N59" s="171"/>
      <c r="O59" s="202">
        <f>Tabela9[[#This Row],[Swap]]+Tabela9[[#This Row],[Profit]]</f>
        <v>0</v>
      </c>
    </row>
    <row r="60" spans="1:15">
      <c r="A60" s="163">
        <v>21231399</v>
      </c>
      <c r="B60" s="162" t="s">
        <v>278</v>
      </c>
      <c r="C60" s="163" t="s">
        <v>193</v>
      </c>
      <c r="D60" s="163">
        <v>1.78</v>
      </c>
      <c r="E60" s="163" t="s">
        <v>192</v>
      </c>
      <c r="F60" s="163">
        <v>0.82164999999999999</v>
      </c>
      <c r="G60" s="163">
        <v>0.82120000000000004</v>
      </c>
      <c r="H60" s="163">
        <v>0</v>
      </c>
      <c r="I60" s="162" t="s">
        <v>279</v>
      </c>
      <c r="J60" s="163">
        <v>0.82120000000000004</v>
      </c>
      <c r="K60" s="199" t="s">
        <v>295</v>
      </c>
      <c r="L60" s="163">
        <v>0</v>
      </c>
      <c r="M60" s="163">
        <v>0</v>
      </c>
      <c r="N60" s="163">
        <v>-135.87</v>
      </c>
      <c r="O60" s="202">
        <f>Tabela9[[#This Row],[Swap]]+Tabela9[[#This Row],[Profit]]</f>
        <v>-135.87</v>
      </c>
    </row>
    <row r="61" spans="1:15">
      <c r="A61" s="163"/>
      <c r="B61" s="199"/>
      <c r="C61" s="199"/>
      <c r="D61" s="199"/>
      <c r="E61" s="199"/>
      <c r="F61" s="199"/>
      <c r="G61" s="199"/>
      <c r="H61" s="199"/>
      <c r="I61" s="199"/>
      <c r="J61" s="163">
        <v>8855</v>
      </c>
      <c r="K61" s="165">
        <v>0</v>
      </c>
      <c r="L61" s="199"/>
      <c r="M61" s="199"/>
      <c r="N61" s="171"/>
      <c r="O61" s="202">
        <f>Tabela9[[#This Row],[Swap]]+Tabela9[[#This Row],[Profit]]</f>
        <v>0</v>
      </c>
    </row>
    <row r="62" spans="1:15">
      <c r="A62" s="165">
        <v>21232819</v>
      </c>
      <c r="B62" s="164" t="s">
        <v>280</v>
      </c>
      <c r="C62" s="165" t="s">
        <v>193</v>
      </c>
      <c r="D62" s="165">
        <v>1.68</v>
      </c>
      <c r="E62" s="165" t="s">
        <v>195</v>
      </c>
      <c r="F62" s="166">
        <v>169732</v>
      </c>
      <c r="G62" s="166">
        <v>169530</v>
      </c>
      <c r="H62" s="165">
        <v>0</v>
      </c>
      <c r="I62" s="164" t="s">
        <v>281</v>
      </c>
      <c r="J62" s="166">
        <v>169530</v>
      </c>
      <c r="K62" s="201" t="s">
        <v>295</v>
      </c>
      <c r="L62" s="165">
        <v>0</v>
      </c>
      <c r="M62" s="165">
        <v>0</v>
      </c>
      <c r="N62" s="165">
        <v>-339.36</v>
      </c>
      <c r="O62" s="202">
        <f>Tabela9[[#This Row],[Swap]]+Tabela9[[#This Row],[Profit]]</f>
        <v>-339.36</v>
      </c>
    </row>
    <row r="63" spans="1:15">
      <c r="A63" s="167"/>
      <c r="B63" s="200"/>
      <c r="C63" s="200"/>
      <c r="D63" s="200"/>
      <c r="E63" s="200"/>
      <c r="F63" s="200"/>
      <c r="G63" s="200"/>
      <c r="H63" s="200"/>
      <c r="I63" s="200"/>
      <c r="J63" s="167">
        <v>8855</v>
      </c>
      <c r="K63" s="163">
        <v>0</v>
      </c>
      <c r="L63" s="201"/>
      <c r="M63" s="201"/>
      <c r="N63" s="171"/>
      <c r="O63" s="202">
        <f>Tabela9[[#This Row],[Swap]]+Tabela9[[#This Row],[Profit]]</f>
        <v>0</v>
      </c>
    </row>
    <row r="64" spans="1:15">
      <c r="A64" s="163">
        <v>21230772</v>
      </c>
      <c r="B64" s="162" t="s">
        <v>282</v>
      </c>
      <c r="C64" s="163" t="s">
        <v>193</v>
      </c>
      <c r="D64" s="163">
        <v>1.54</v>
      </c>
      <c r="E64" s="163" t="s">
        <v>194</v>
      </c>
      <c r="F64" s="168">
        <v>139276</v>
      </c>
      <c r="G64" s="168">
        <v>139200</v>
      </c>
      <c r="H64" s="163">
        <v>0</v>
      </c>
      <c r="I64" s="162" t="s">
        <v>283</v>
      </c>
      <c r="J64" s="168">
        <v>139200</v>
      </c>
      <c r="K64" s="199" t="s">
        <v>295</v>
      </c>
      <c r="L64" s="163">
        <v>0</v>
      </c>
      <c r="M64" s="163">
        <v>0</v>
      </c>
      <c r="N64" s="163">
        <v>-117.04</v>
      </c>
      <c r="O64" s="202">
        <f>Tabela9[[#This Row],[Swap]]+Tabela9[[#This Row],[Profit]]</f>
        <v>-117.04</v>
      </c>
    </row>
    <row r="65" spans="1:15">
      <c r="A65" s="163"/>
      <c r="B65" s="199"/>
      <c r="C65" s="199"/>
      <c r="D65" s="199"/>
      <c r="E65" s="199"/>
      <c r="F65" s="199"/>
      <c r="G65" s="199"/>
      <c r="H65" s="199"/>
      <c r="I65" s="199"/>
      <c r="J65" s="163">
        <v>8855</v>
      </c>
      <c r="K65" s="165">
        <v>0</v>
      </c>
      <c r="L65" s="199"/>
      <c r="M65" s="199"/>
      <c r="N65" s="171"/>
      <c r="O65" s="202">
        <f>Tabela9[[#This Row],[Swap]]+Tabela9[[#This Row],[Profit]]</f>
        <v>0</v>
      </c>
    </row>
    <row r="66" spans="1:15">
      <c r="A66" s="165">
        <v>21234045</v>
      </c>
      <c r="B66" s="164" t="s">
        <v>284</v>
      </c>
      <c r="C66" s="165" t="s">
        <v>193</v>
      </c>
      <c r="D66" s="165">
        <v>1.5</v>
      </c>
      <c r="E66" s="165" t="s">
        <v>194</v>
      </c>
      <c r="F66" s="166">
        <v>139636</v>
      </c>
      <c r="G66" s="166">
        <v>139200</v>
      </c>
      <c r="H66" s="165">
        <v>0</v>
      </c>
      <c r="I66" s="164" t="s">
        <v>283</v>
      </c>
      <c r="J66" s="166">
        <v>139200</v>
      </c>
      <c r="K66" s="201" t="s">
        <v>326</v>
      </c>
      <c r="L66" s="165">
        <v>0</v>
      </c>
      <c r="M66" s="165">
        <v>0</v>
      </c>
      <c r="N66" s="165">
        <v>-654</v>
      </c>
      <c r="O66" s="202">
        <f>Tabela9[[#This Row],[Swap]]+Tabela9[[#This Row],[Profit]]</f>
        <v>-654</v>
      </c>
    </row>
    <row r="67" spans="1:15">
      <c r="A67" s="167"/>
      <c r="B67" s="200"/>
      <c r="C67" s="200"/>
      <c r="D67" s="200"/>
      <c r="E67" s="200"/>
      <c r="F67" s="200"/>
      <c r="G67" s="200"/>
      <c r="H67" s="200"/>
      <c r="I67" s="200"/>
      <c r="J67" s="167">
        <v>8855</v>
      </c>
      <c r="K67" s="163">
        <v>0</v>
      </c>
      <c r="L67" s="201"/>
      <c r="M67" s="201"/>
      <c r="N67" s="171"/>
      <c r="O67" s="202">
        <f>Tabela9[[#This Row],[Swap]]+Tabela9[[#This Row],[Profit]]</f>
        <v>0</v>
      </c>
    </row>
    <row r="68" spans="1:15">
      <c r="A68" s="163">
        <v>21233423</v>
      </c>
      <c r="B68" s="162" t="s">
        <v>285</v>
      </c>
      <c r="C68" s="163" t="s">
        <v>193</v>
      </c>
      <c r="D68" s="163">
        <v>1.51</v>
      </c>
      <c r="E68" s="163" t="s">
        <v>194</v>
      </c>
      <c r="F68" s="168">
        <v>139562</v>
      </c>
      <c r="G68" s="168">
        <v>138680</v>
      </c>
      <c r="H68" s="163">
        <v>0</v>
      </c>
      <c r="I68" s="162" t="s">
        <v>286</v>
      </c>
      <c r="J68" s="168">
        <v>138680</v>
      </c>
      <c r="K68" s="199" t="s">
        <v>339</v>
      </c>
      <c r="L68" s="163">
        <v>0</v>
      </c>
      <c r="M68" s="163">
        <v>0</v>
      </c>
      <c r="N68" s="163">
        <v>-1331.82</v>
      </c>
      <c r="O68" s="202">
        <f>Tabela9[[#This Row],[Swap]]+Tabela9[[#This Row],[Profit]]</f>
        <v>-1331.82</v>
      </c>
    </row>
    <row r="69" spans="1:15">
      <c r="A69" s="163"/>
      <c r="B69" s="199"/>
      <c r="C69" s="199"/>
      <c r="D69" s="199"/>
      <c r="E69" s="199"/>
      <c r="F69" s="199"/>
      <c r="G69" s="199"/>
      <c r="H69" s="199"/>
      <c r="I69" s="199"/>
      <c r="J69" s="163">
        <v>8855</v>
      </c>
      <c r="K69" s="165">
        <v>0</v>
      </c>
      <c r="L69" s="199"/>
      <c r="M69" s="199"/>
      <c r="N69" s="171"/>
      <c r="O69" s="202">
        <f>Tabela9[[#This Row],[Swap]]+Tabela9[[#This Row],[Profit]]</f>
        <v>0</v>
      </c>
    </row>
    <row r="70" spans="1:15">
      <c r="A70" s="165">
        <v>21170158</v>
      </c>
      <c r="B70" s="164" t="s">
        <v>287</v>
      </c>
      <c r="C70" s="165" t="s">
        <v>193</v>
      </c>
      <c r="D70" s="165">
        <v>0.87</v>
      </c>
      <c r="E70" s="165" t="s">
        <v>195</v>
      </c>
      <c r="F70" s="166">
        <v>169064</v>
      </c>
      <c r="G70" s="166">
        <v>169250</v>
      </c>
      <c r="H70" s="165">
        <v>0</v>
      </c>
      <c r="I70" s="164" t="s">
        <v>288</v>
      </c>
      <c r="J70" s="166">
        <v>169250</v>
      </c>
      <c r="K70" s="201" t="s">
        <v>326</v>
      </c>
      <c r="L70" s="165">
        <v>0</v>
      </c>
      <c r="M70" s="165">
        <v>-6.73</v>
      </c>
      <c r="N70" s="165">
        <v>161.82</v>
      </c>
      <c r="O70" s="202">
        <f>Tabela9[[#This Row],[Swap]]+Tabela9[[#This Row],[Profit]]</f>
        <v>155.09</v>
      </c>
    </row>
    <row r="71" spans="1:15">
      <c r="A71" s="167"/>
      <c r="B71" s="200"/>
      <c r="C71" s="200"/>
      <c r="D71" s="200"/>
      <c r="E71" s="200"/>
      <c r="F71" s="200"/>
      <c r="G71" s="200"/>
      <c r="H71" s="200"/>
      <c r="I71" s="200"/>
      <c r="J71" s="167">
        <v>8855</v>
      </c>
      <c r="K71" s="163">
        <v>0</v>
      </c>
      <c r="L71" s="201"/>
      <c r="M71" s="201"/>
      <c r="N71" s="171"/>
      <c r="O71" s="202">
        <f>Tabela9[[#This Row],[Swap]]+Tabela9[[#This Row],[Profit]]</f>
        <v>0</v>
      </c>
    </row>
    <row r="72" spans="1:15">
      <c r="A72" s="163">
        <v>21170159</v>
      </c>
      <c r="B72" s="162" t="s">
        <v>287</v>
      </c>
      <c r="C72" s="163" t="s">
        <v>193</v>
      </c>
      <c r="D72" s="163">
        <v>1.52</v>
      </c>
      <c r="E72" s="163" t="s">
        <v>195</v>
      </c>
      <c r="F72" s="168">
        <v>169064</v>
      </c>
      <c r="G72" s="168">
        <v>168620</v>
      </c>
      <c r="H72" s="163">
        <v>0</v>
      </c>
      <c r="I72" s="162" t="s">
        <v>289</v>
      </c>
      <c r="J72" s="168">
        <v>168620</v>
      </c>
      <c r="K72" s="199" t="s">
        <v>339</v>
      </c>
      <c r="L72" s="163">
        <v>0</v>
      </c>
      <c r="M72" s="163">
        <v>-13.43</v>
      </c>
      <c r="N72" s="163">
        <v>-674.88</v>
      </c>
      <c r="O72" s="202">
        <f>Tabela9[[#This Row],[Swap]]+Tabela9[[#This Row],[Profit]]</f>
        <v>-688.31</v>
      </c>
    </row>
    <row r="73" spans="1:15">
      <c r="A73" s="163"/>
      <c r="B73" s="199"/>
      <c r="C73" s="199"/>
      <c r="D73" s="199"/>
      <c r="E73" s="199"/>
      <c r="F73" s="199"/>
      <c r="G73" s="199"/>
      <c r="H73" s="199"/>
      <c r="I73" s="199"/>
      <c r="J73" s="163">
        <v>8855</v>
      </c>
      <c r="K73" s="165">
        <v>0</v>
      </c>
      <c r="L73" s="199"/>
      <c r="M73" s="199"/>
      <c r="N73" s="171"/>
      <c r="O73" s="202">
        <f>Tabela9[[#This Row],[Swap]]+Tabela9[[#This Row],[Profit]]</f>
        <v>0</v>
      </c>
    </row>
    <row r="74" spans="1:15">
      <c r="A74" s="165">
        <v>21214162</v>
      </c>
      <c r="B74" s="164" t="s">
        <v>290</v>
      </c>
      <c r="C74" s="165" t="s">
        <v>191</v>
      </c>
      <c r="D74" s="165">
        <v>1.33</v>
      </c>
      <c r="E74" s="165" t="s">
        <v>198</v>
      </c>
      <c r="F74" s="166">
        <v>108843</v>
      </c>
      <c r="G74" s="166">
        <v>108630</v>
      </c>
      <c r="H74" s="165">
        <v>0</v>
      </c>
      <c r="I74" s="164" t="s">
        <v>291</v>
      </c>
      <c r="J74" s="166">
        <v>108630</v>
      </c>
      <c r="K74" s="201" t="s">
        <v>326</v>
      </c>
      <c r="L74" s="165">
        <v>0</v>
      </c>
      <c r="M74" s="165">
        <v>-5.59</v>
      </c>
      <c r="N74" s="165">
        <v>260.77999999999997</v>
      </c>
      <c r="O74" s="202">
        <f>Tabela9[[#This Row],[Swap]]+Tabela9[[#This Row],[Profit]]</f>
        <v>255.18999999999997</v>
      </c>
    </row>
    <row r="75" spans="1:15">
      <c r="A75" s="167"/>
      <c r="B75" s="200"/>
      <c r="C75" s="200"/>
      <c r="D75" s="200"/>
      <c r="E75" s="200"/>
      <c r="F75" s="200"/>
      <c r="G75" s="200"/>
      <c r="H75" s="200"/>
      <c r="I75" s="200"/>
      <c r="J75" s="167">
        <v>8855</v>
      </c>
      <c r="K75" s="163">
        <v>0</v>
      </c>
      <c r="L75" s="201"/>
      <c r="M75" s="201"/>
      <c r="N75" s="171"/>
      <c r="O75" s="202">
        <f>Tabela9[[#This Row],[Swap]]+Tabela9[[#This Row],[Profit]]</f>
        <v>0</v>
      </c>
    </row>
    <row r="76" spans="1:15">
      <c r="A76" s="163">
        <v>21238253</v>
      </c>
      <c r="B76" s="162" t="s">
        <v>292</v>
      </c>
      <c r="C76" s="163" t="s">
        <v>191</v>
      </c>
      <c r="D76" s="163">
        <v>1.07</v>
      </c>
      <c r="E76" s="163" t="s">
        <v>198</v>
      </c>
      <c r="F76" s="168">
        <v>108569</v>
      </c>
      <c r="G76" s="168">
        <v>108630</v>
      </c>
      <c r="H76" s="163">
        <v>0</v>
      </c>
      <c r="I76" s="162" t="s">
        <v>291</v>
      </c>
      <c r="J76" s="168">
        <v>108630</v>
      </c>
      <c r="K76" s="199" t="s">
        <v>295</v>
      </c>
      <c r="L76" s="163">
        <v>0</v>
      </c>
      <c r="M76" s="163">
        <v>-0.9</v>
      </c>
      <c r="N76" s="163">
        <v>-60.08</v>
      </c>
      <c r="O76" s="202">
        <f>Tabela9[[#This Row],[Swap]]+Tabela9[[#This Row],[Profit]]</f>
        <v>-60.98</v>
      </c>
    </row>
    <row r="77" spans="1:15">
      <c r="A77" s="163"/>
      <c r="B77" s="199"/>
      <c r="C77" s="199"/>
      <c r="D77" s="199"/>
      <c r="E77" s="199"/>
      <c r="F77" s="199"/>
      <c r="G77" s="199"/>
      <c r="H77" s="199"/>
      <c r="I77" s="199"/>
      <c r="J77" s="163">
        <v>8855</v>
      </c>
      <c r="K77" s="165">
        <v>0</v>
      </c>
      <c r="L77" s="199"/>
      <c r="M77" s="199"/>
      <c r="N77" s="171"/>
      <c r="O77" s="202">
        <f>Tabela9[[#This Row],[Swap]]+Tabela9[[#This Row],[Profit]]</f>
        <v>0</v>
      </c>
    </row>
    <row r="78" spans="1:15">
      <c r="A78" s="165">
        <v>21235567</v>
      </c>
      <c r="B78" s="164" t="s">
        <v>293</v>
      </c>
      <c r="C78" s="165" t="s">
        <v>191</v>
      </c>
      <c r="D78" s="165">
        <v>2.7</v>
      </c>
      <c r="E78" s="165" t="s">
        <v>192</v>
      </c>
      <c r="F78" s="165">
        <v>0.81984000000000001</v>
      </c>
      <c r="G78" s="165">
        <v>0.81810000000000005</v>
      </c>
      <c r="H78" s="165">
        <v>0</v>
      </c>
      <c r="I78" s="164" t="s">
        <v>294</v>
      </c>
      <c r="J78" s="165">
        <v>0.81810000000000005</v>
      </c>
      <c r="K78" s="201" t="s">
        <v>295</v>
      </c>
      <c r="L78" s="165">
        <v>0</v>
      </c>
      <c r="M78" s="165">
        <v>-2.2999999999999998</v>
      </c>
      <c r="N78" s="165">
        <v>791.59</v>
      </c>
      <c r="O78" s="202">
        <f>Tabela9[[#This Row],[Swap]]+Tabela9[[#This Row],[Profit]]</f>
        <v>789.29000000000008</v>
      </c>
    </row>
    <row r="79" spans="1:15">
      <c r="A79" s="167"/>
      <c r="B79" s="200"/>
      <c r="C79" s="200"/>
      <c r="D79" s="200"/>
      <c r="E79" s="200"/>
      <c r="F79" s="200"/>
      <c r="G79" s="200"/>
      <c r="H79" s="200"/>
      <c r="I79" s="200"/>
      <c r="J79" s="167">
        <v>8855</v>
      </c>
      <c r="K79" s="163">
        <v>0</v>
      </c>
      <c r="L79" s="201"/>
      <c r="M79" s="201"/>
      <c r="N79" s="171"/>
      <c r="O79" s="202">
        <f>Tabela9[[#This Row],[Swap]]+Tabela9[[#This Row],[Profit]]</f>
        <v>0</v>
      </c>
    </row>
    <row r="80" spans="1:15">
      <c r="A80" s="163">
        <v>21246904</v>
      </c>
      <c r="B80" s="162" t="s">
        <v>296</v>
      </c>
      <c r="C80" s="163" t="s">
        <v>191</v>
      </c>
      <c r="D80" s="163">
        <v>0.7</v>
      </c>
      <c r="E80" s="163" t="s">
        <v>195</v>
      </c>
      <c r="F80" s="168">
        <v>168993</v>
      </c>
      <c r="G80" s="168">
        <v>169020</v>
      </c>
      <c r="H80" s="163">
        <v>0</v>
      </c>
      <c r="I80" s="162" t="s">
        <v>297</v>
      </c>
      <c r="J80" s="168">
        <v>169020</v>
      </c>
      <c r="K80" s="199" t="s">
        <v>295</v>
      </c>
      <c r="L80" s="163">
        <v>0</v>
      </c>
      <c r="M80" s="163">
        <v>-3.16</v>
      </c>
      <c r="N80" s="163">
        <v>-18.899999999999999</v>
      </c>
      <c r="O80" s="202">
        <f>Tabela9[[#This Row],[Swap]]+Tabela9[[#This Row],[Profit]]</f>
        <v>-22.06</v>
      </c>
    </row>
    <row r="81" spans="1:15">
      <c r="A81" s="163"/>
      <c r="B81" s="199"/>
      <c r="C81" s="199"/>
      <c r="D81" s="199"/>
      <c r="E81" s="199"/>
      <c r="F81" s="199"/>
      <c r="G81" s="199"/>
      <c r="H81" s="199"/>
      <c r="I81" s="199"/>
      <c r="J81" s="163">
        <v>8855</v>
      </c>
      <c r="K81" s="165">
        <v>0</v>
      </c>
      <c r="L81" s="199"/>
      <c r="M81" s="199"/>
      <c r="N81" s="171"/>
      <c r="O81" s="202">
        <f>Tabela9[[#This Row],[Swap]]+Tabela9[[#This Row],[Profit]]</f>
        <v>0</v>
      </c>
    </row>
    <row r="82" spans="1:15">
      <c r="A82" s="165">
        <v>21209126</v>
      </c>
      <c r="B82" s="164" t="s">
        <v>298</v>
      </c>
      <c r="C82" s="165" t="s">
        <v>193</v>
      </c>
      <c r="D82" s="165">
        <v>1.17</v>
      </c>
      <c r="E82" s="165" t="s">
        <v>197</v>
      </c>
      <c r="F82" s="165">
        <v>0.93137000000000003</v>
      </c>
      <c r="G82" s="165">
        <v>0.93540000000000001</v>
      </c>
      <c r="H82" s="165">
        <v>0</v>
      </c>
      <c r="I82" s="164" t="s">
        <v>299</v>
      </c>
      <c r="J82" s="165">
        <v>0.93540000000000001</v>
      </c>
      <c r="K82" s="201" t="s">
        <v>295</v>
      </c>
      <c r="L82" s="165">
        <v>0</v>
      </c>
      <c r="M82" s="165">
        <v>43.67</v>
      </c>
      <c r="N82" s="165">
        <v>471.51</v>
      </c>
      <c r="O82" s="202">
        <f>Tabela9[[#This Row],[Swap]]+Tabela9[[#This Row],[Profit]]</f>
        <v>515.17999999999995</v>
      </c>
    </row>
    <row r="83" spans="1:15">
      <c r="A83" s="167"/>
      <c r="B83" s="200"/>
      <c r="C83" s="200"/>
      <c r="D83" s="200"/>
      <c r="E83" s="200"/>
      <c r="F83" s="200"/>
      <c r="G83" s="200"/>
      <c r="H83" s="200"/>
      <c r="I83" s="200"/>
      <c r="J83" s="167">
        <v>8855</v>
      </c>
      <c r="K83" s="163">
        <v>0</v>
      </c>
      <c r="L83" s="201"/>
      <c r="M83" s="201"/>
      <c r="N83" s="171"/>
      <c r="O83" s="202">
        <f>Tabela9[[#This Row],[Swap]]+Tabela9[[#This Row],[Profit]]</f>
        <v>0</v>
      </c>
    </row>
    <row r="84" spans="1:15">
      <c r="A84" s="163">
        <v>21253879</v>
      </c>
      <c r="B84" s="162" t="s">
        <v>300</v>
      </c>
      <c r="C84" s="163" t="s">
        <v>191</v>
      </c>
      <c r="D84" s="163">
        <v>1.57</v>
      </c>
      <c r="E84" s="163" t="s">
        <v>192</v>
      </c>
      <c r="F84" s="163">
        <v>0.81613999999999998</v>
      </c>
      <c r="G84" s="163">
        <v>0.81669999999999998</v>
      </c>
      <c r="H84" s="163">
        <v>0</v>
      </c>
      <c r="I84" s="162" t="s">
        <v>301</v>
      </c>
      <c r="J84" s="163">
        <v>0.81669999999999998</v>
      </c>
      <c r="K84" s="199" t="s">
        <v>295</v>
      </c>
      <c r="L84" s="163">
        <v>0</v>
      </c>
      <c r="M84" s="163">
        <v>-2.66</v>
      </c>
      <c r="N84" s="163">
        <v>-148.25</v>
      </c>
      <c r="O84" s="202">
        <f>Tabela9[[#This Row],[Swap]]+Tabela9[[#This Row],[Profit]]</f>
        <v>-150.91</v>
      </c>
    </row>
    <row r="85" spans="1:15">
      <c r="A85" s="163"/>
      <c r="B85" s="199"/>
      <c r="C85" s="199"/>
      <c r="D85" s="199"/>
      <c r="E85" s="199"/>
      <c r="F85" s="199"/>
      <c r="G85" s="199"/>
      <c r="H85" s="199"/>
      <c r="I85" s="199"/>
      <c r="J85" s="163">
        <v>8855</v>
      </c>
      <c r="K85" s="165">
        <v>0</v>
      </c>
      <c r="L85" s="199"/>
      <c r="M85" s="199"/>
      <c r="N85" s="171"/>
      <c r="O85" s="202">
        <f>Tabela9[[#This Row],[Swap]]+Tabela9[[#This Row],[Profit]]</f>
        <v>0</v>
      </c>
    </row>
    <row r="86" spans="1:15">
      <c r="A86" s="165">
        <v>21268764</v>
      </c>
      <c r="B86" s="164" t="s">
        <v>302</v>
      </c>
      <c r="C86" s="165" t="s">
        <v>191</v>
      </c>
      <c r="D86" s="165">
        <v>2.13</v>
      </c>
      <c r="E86" s="165" t="s">
        <v>197</v>
      </c>
      <c r="F86" s="165">
        <v>0.93503999999999998</v>
      </c>
      <c r="G86" s="165">
        <v>0.93620000000000003</v>
      </c>
      <c r="H86" s="165">
        <v>0</v>
      </c>
      <c r="I86" s="164" t="s">
        <v>303</v>
      </c>
      <c r="J86" s="165">
        <v>0.93620000000000003</v>
      </c>
      <c r="K86" s="201" t="s">
        <v>295</v>
      </c>
      <c r="L86" s="165">
        <v>0</v>
      </c>
      <c r="M86" s="165">
        <v>0</v>
      </c>
      <c r="N86" s="165">
        <v>-247.08</v>
      </c>
      <c r="O86" s="202">
        <f>Tabela9[[#This Row],[Swap]]+Tabela9[[#This Row],[Profit]]</f>
        <v>-247.08</v>
      </c>
    </row>
    <row r="87" spans="1:15">
      <c r="A87" s="167"/>
      <c r="B87" s="200"/>
      <c r="C87" s="200"/>
      <c r="D87" s="200"/>
      <c r="E87" s="200"/>
      <c r="F87" s="200"/>
      <c r="G87" s="200"/>
      <c r="H87" s="200"/>
      <c r="I87" s="200"/>
      <c r="J87" s="167">
        <v>8855</v>
      </c>
      <c r="K87" s="163">
        <v>0</v>
      </c>
      <c r="L87" s="201"/>
      <c r="M87" s="201"/>
      <c r="N87" s="171"/>
      <c r="O87" s="202">
        <f>Tabela9[[#This Row],[Swap]]+Tabela9[[#This Row],[Profit]]</f>
        <v>0</v>
      </c>
    </row>
    <row r="88" spans="1:15">
      <c r="A88" s="163">
        <v>21271016</v>
      </c>
      <c r="B88" s="162" t="s">
        <v>304</v>
      </c>
      <c r="C88" s="163" t="s">
        <v>191</v>
      </c>
      <c r="D88" s="163">
        <v>1.1299999999999999</v>
      </c>
      <c r="E88" s="163" t="s">
        <v>195</v>
      </c>
      <c r="F88" s="168">
        <v>168505</v>
      </c>
      <c r="G88" s="168">
        <v>168320</v>
      </c>
      <c r="H88" s="163">
        <v>0</v>
      </c>
      <c r="I88" s="162" t="s">
        <v>305</v>
      </c>
      <c r="J88" s="168">
        <v>168320</v>
      </c>
      <c r="K88" s="199" t="s">
        <v>295</v>
      </c>
      <c r="L88" s="163">
        <v>0</v>
      </c>
      <c r="M88" s="163">
        <v>-5.0999999999999996</v>
      </c>
      <c r="N88" s="163">
        <v>209.05</v>
      </c>
      <c r="O88" s="202">
        <f>Tabela9[[#This Row],[Swap]]+Tabela9[[#This Row],[Profit]]</f>
        <v>203.95000000000002</v>
      </c>
    </row>
    <row r="89" spans="1:15">
      <c r="A89" s="163"/>
      <c r="B89" s="199"/>
      <c r="C89" s="199"/>
      <c r="D89" s="199"/>
      <c r="E89" s="199"/>
      <c r="F89" s="199"/>
      <c r="G89" s="199"/>
      <c r="H89" s="199"/>
      <c r="I89" s="199"/>
      <c r="J89" s="163">
        <v>8855</v>
      </c>
      <c r="K89" s="165">
        <v>0</v>
      </c>
      <c r="L89" s="199"/>
      <c r="M89" s="199"/>
      <c r="N89" s="171"/>
      <c r="O89" s="202">
        <f>Tabela9[[#This Row],[Swap]]+Tabela9[[#This Row],[Profit]]</f>
        <v>0</v>
      </c>
    </row>
    <row r="90" spans="1:15">
      <c r="A90" s="165">
        <v>21283357</v>
      </c>
      <c r="B90" s="164" t="s">
        <v>306</v>
      </c>
      <c r="C90" s="165" t="s">
        <v>193</v>
      </c>
      <c r="D90" s="165">
        <v>1.22</v>
      </c>
      <c r="E90" s="165" t="s">
        <v>198</v>
      </c>
      <c r="F90" s="166">
        <v>109225</v>
      </c>
      <c r="G90" s="166">
        <v>108970</v>
      </c>
      <c r="H90" s="165">
        <v>0</v>
      </c>
      <c r="I90" s="164" t="s">
        <v>307</v>
      </c>
      <c r="J90" s="166">
        <v>108970</v>
      </c>
      <c r="K90" s="201" t="s">
        <v>295</v>
      </c>
      <c r="L90" s="165">
        <v>0</v>
      </c>
      <c r="M90" s="165">
        <v>0</v>
      </c>
      <c r="N90" s="165">
        <v>-285.49</v>
      </c>
      <c r="O90" s="202">
        <f>Tabela9[[#This Row],[Swap]]+Tabela9[[#This Row],[Profit]]</f>
        <v>-285.49</v>
      </c>
    </row>
    <row r="91" spans="1:15">
      <c r="A91" s="167"/>
      <c r="B91" s="200"/>
      <c r="C91" s="200"/>
      <c r="D91" s="200"/>
      <c r="E91" s="200"/>
      <c r="F91" s="200"/>
      <c r="G91" s="200"/>
      <c r="H91" s="200"/>
      <c r="I91" s="200"/>
      <c r="J91" s="167">
        <v>8855</v>
      </c>
      <c r="K91" s="163">
        <v>0</v>
      </c>
      <c r="L91" s="201"/>
      <c r="M91" s="201"/>
      <c r="N91" s="171"/>
      <c r="O91" s="202">
        <f>Tabela9[[#This Row],[Swap]]+Tabela9[[#This Row],[Profit]]</f>
        <v>0</v>
      </c>
    </row>
    <row r="92" spans="1:15">
      <c r="A92" s="163">
        <v>21246284</v>
      </c>
      <c r="B92" s="162" t="s">
        <v>308</v>
      </c>
      <c r="C92" s="163" t="s">
        <v>191</v>
      </c>
      <c r="D92" s="163">
        <v>1.07</v>
      </c>
      <c r="E92" s="163" t="s">
        <v>194</v>
      </c>
      <c r="F92" s="168">
        <v>138192</v>
      </c>
      <c r="G92" s="168">
        <v>137570</v>
      </c>
      <c r="H92" s="163">
        <v>0</v>
      </c>
      <c r="I92" s="162" t="s">
        <v>309</v>
      </c>
      <c r="J92" s="168">
        <v>136717</v>
      </c>
      <c r="K92" s="199" t="s">
        <v>295</v>
      </c>
      <c r="L92" s="163">
        <v>0</v>
      </c>
      <c r="M92" s="163">
        <v>-14.37</v>
      </c>
      <c r="N92" s="163">
        <v>1578.25</v>
      </c>
      <c r="O92" s="202">
        <f>Tabela9[[#This Row],[Swap]]+Tabela9[[#This Row],[Profit]]</f>
        <v>1563.88</v>
      </c>
    </row>
    <row r="93" spans="1:15">
      <c r="A93" s="163"/>
      <c r="B93" s="199"/>
      <c r="C93" s="199"/>
      <c r="D93" s="199"/>
      <c r="E93" s="199"/>
      <c r="F93" s="199"/>
      <c r="G93" s="199"/>
      <c r="H93" s="199"/>
      <c r="I93" s="199"/>
      <c r="J93" s="163">
        <v>8855</v>
      </c>
      <c r="K93" s="165">
        <v>0</v>
      </c>
      <c r="L93" s="199"/>
      <c r="M93" s="199"/>
      <c r="N93" s="171"/>
      <c r="O93" s="202">
        <f>Tabela9[[#This Row],[Swap]]+Tabela9[[#This Row],[Profit]]</f>
        <v>0</v>
      </c>
    </row>
    <row r="94" spans="1:15">
      <c r="A94" s="165">
        <v>21209623</v>
      </c>
      <c r="B94" s="164" t="s">
        <v>310</v>
      </c>
      <c r="C94" s="165" t="s">
        <v>193</v>
      </c>
      <c r="D94" s="165">
        <v>1.3</v>
      </c>
      <c r="E94" s="165" t="s">
        <v>197</v>
      </c>
      <c r="F94" s="165">
        <v>0.93223999999999996</v>
      </c>
      <c r="G94" s="165">
        <v>0.93579999999999997</v>
      </c>
      <c r="H94" s="165">
        <v>0</v>
      </c>
      <c r="I94" s="164" t="s">
        <v>311</v>
      </c>
      <c r="J94" s="165">
        <v>0.93579999999999997</v>
      </c>
      <c r="K94" s="201" t="s">
        <v>326</v>
      </c>
      <c r="L94" s="165">
        <v>0</v>
      </c>
      <c r="M94" s="165">
        <v>76.31</v>
      </c>
      <c r="N94" s="165">
        <v>462.8</v>
      </c>
      <c r="O94" s="202">
        <f>Tabela9[[#This Row],[Swap]]+Tabela9[[#This Row],[Profit]]</f>
        <v>539.11</v>
      </c>
    </row>
    <row r="95" spans="1:15">
      <c r="A95" s="167"/>
      <c r="B95" s="200"/>
      <c r="C95" s="200"/>
      <c r="D95" s="200"/>
      <c r="E95" s="200"/>
      <c r="F95" s="200"/>
      <c r="G95" s="200"/>
      <c r="H95" s="200"/>
      <c r="I95" s="200"/>
      <c r="J95" s="167">
        <v>8855</v>
      </c>
      <c r="K95" s="163">
        <v>0</v>
      </c>
      <c r="L95" s="201"/>
      <c r="M95" s="201"/>
      <c r="N95" s="171"/>
      <c r="O95" s="202">
        <f>Tabela9[[#This Row],[Swap]]+Tabela9[[#This Row],[Profit]]</f>
        <v>0</v>
      </c>
    </row>
    <row r="96" spans="1:15">
      <c r="A96" s="163">
        <v>21286193</v>
      </c>
      <c r="B96" s="162" t="s">
        <v>312</v>
      </c>
      <c r="C96" s="163" t="s">
        <v>191</v>
      </c>
      <c r="D96" s="163">
        <v>0.6</v>
      </c>
      <c r="E96" s="163" t="s">
        <v>195</v>
      </c>
      <c r="F96" s="168">
        <v>167654</v>
      </c>
      <c r="G96" s="168">
        <v>167750</v>
      </c>
      <c r="H96" s="163">
        <v>0</v>
      </c>
      <c r="I96" s="162" t="s">
        <v>313</v>
      </c>
      <c r="J96" s="168">
        <v>167750</v>
      </c>
      <c r="K96" s="199" t="s">
        <v>295</v>
      </c>
      <c r="L96" s="163">
        <v>0</v>
      </c>
      <c r="M96" s="163">
        <v>-8.09</v>
      </c>
      <c r="N96" s="163">
        <v>-57.6</v>
      </c>
      <c r="O96" s="202">
        <f>Tabela9[[#This Row],[Swap]]+Tabela9[[#This Row],[Profit]]</f>
        <v>-65.69</v>
      </c>
    </row>
    <row r="97" spans="1:15">
      <c r="A97" s="163"/>
      <c r="B97" s="199"/>
      <c r="C97" s="199"/>
      <c r="D97" s="199"/>
      <c r="E97" s="199"/>
      <c r="F97" s="199"/>
      <c r="G97" s="199"/>
      <c r="H97" s="199"/>
      <c r="I97" s="199"/>
      <c r="J97" s="163">
        <v>8855</v>
      </c>
      <c r="K97" s="165">
        <v>0</v>
      </c>
      <c r="L97" s="199"/>
      <c r="M97" s="199"/>
      <c r="N97" s="171"/>
      <c r="O97" s="202">
        <f>Tabela9[[#This Row],[Swap]]+Tabela9[[#This Row],[Profit]]</f>
        <v>0</v>
      </c>
    </row>
    <row r="98" spans="1:15">
      <c r="A98" s="165">
        <v>21246821</v>
      </c>
      <c r="B98" s="164" t="s">
        <v>314</v>
      </c>
      <c r="C98" s="165" t="s">
        <v>193</v>
      </c>
      <c r="D98" s="165">
        <v>1.1499999999999999</v>
      </c>
      <c r="E98" s="165" t="s">
        <v>196</v>
      </c>
      <c r="F98" s="165">
        <v>0.88288</v>
      </c>
      <c r="G98" s="165">
        <v>0.8921</v>
      </c>
      <c r="H98" s="165">
        <v>0</v>
      </c>
      <c r="I98" s="164" t="s">
        <v>315</v>
      </c>
      <c r="J98" s="165">
        <v>0.8921</v>
      </c>
      <c r="K98" s="201" t="s">
        <v>295</v>
      </c>
      <c r="L98" s="165">
        <v>0</v>
      </c>
      <c r="M98" s="165">
        <v>-9.42</v>
      </c>
      <c r="N98" s="165">
        <v>1188.54</v>
      </c>
      <c r="O98" s="202">
        <f>Tabela9[[#This Row],[Swap]]+Tabela9[[#This Row],[Profit]]</f>
        <v>1179.1199999999999</v>
      </c>
    </row>
    <row r="99" spans="1:15">
      <c r="A99" s="167"/>
      <c r="B99" s="200"/>
      <c r="C99" s="200"/>
      <c r="D99" s="200"/>
      <c r="E99" s="200"/>
      <c r="F99" s="200"/>
      <c r="G99" s="200"/>
      <c r="H99" s="200"/>
      <c r="I99" s="200"/>
      <c r="J99" s="167">
        <v>8855</v>
      </c>
      <c r="K99" s="163">
        <v>0</v>
      </c>
      <c r="L99" s="201"/>
      <c r="M99" s="201"/>
      <c r="N99" s="171"/>
      <c r="O99" s="202">
        <f>Tabela9[[#This Row],[Swap]]+Tabela9[[#This Row],[Profit]]</f>
        <v>0</v>
      </c>
    </row>
    <row r="100" spans="1:15">
      <c r="A100" s="163">
        <v>21295817</v>
      </c>
      <c r="B100" s="162" t="s">
        <v>316</v>
      </c>
      <c r="C100" s="163" t="s">
        <v>193</v>
      </c>
      <c r="D100" s="163">
        <v>1.23</v>
      </c>
      <c r="E100" s="163" t="s">
        <v>196</v>
      </c>
      <c r="F100" s="163">
        <v>0.89124999999999999</v>
      </c>
      <c r="G100" s="163">
        <v>0.8921</v>
      </c>
      <c r="H100" s="163">
        <v>0</v>
      </c>
      <c r="I100" s="162" t="s">
        <v>315</v>
      </c>
      <c r="J100" s="163">
        <v>0.8921</v>
      </c>
      <c r="K100" s="199" t="s">
        <v>326</v>
      </c>
      <c r="L100" s="163">
        <v>0</v>
      </c>
      <c r="M100" s="163">
        <v>0</v>
      </c>
      <c r="N100" s="163">
        <v>117.2</v>
      </c>
      <c r="O100" s="202">
        <f>Tabela9[[#This Row],[Swap]]+Tabela9[[#This Row],[Profit]]</f>
        <v>117.2</v>
      </c>
    </row>
    <row r="101" spans="1:15">
      <c r="A101" s="163"/>
      <c r="B101" s="199"/>
      <c r="C101" s="199"/>
      <c r="D101" s="199"/>
      <c r="E101" s="199"/>
      <c r="F101" s="199"/>
      <c r="G101" s="199"/>
      <c r="H101" s="199"/>
      <c r="I101" s="199"/>
      <c r="J101" s="163">
        <v>8855</v>
      </c>
      <c r="K101" s="165">
        <v>0</v>
      </c>
      <c r="L101" s="199"/>
      <c r="M101" s="199"/>
      <c r="N101" s="171"/>
      <c r="O101" s="202">
        <f>Tabela9[[#This Row],[Swap]]+Tabela9[[#This Row],[Profit]]</f>
        <v>0</v>
      </c>
    </row>
    <row r="102" spans="1:15">
      <c r="A102" s="165">
        <v>21278124</v>
      </c>
      <c r="B102" s="164" t="s">
        <v>317</v>
      </c>
      <c r="C102" s="165" t="s">
        <v>191</v>
      </c>
      <c r="D102" s="165">
        <v>0.78</v>
      </c>
      <c r="E102" s="165" t="s">
        <v>194</v>
      </c>
      <c r="F102" s="166">
        <v>136953</v>
      </c>
      <c r="G102" s="166">
        <v>136840</v>
      </c>
      <c r="H102" s="165">
        <v>0</v>
      </c>
      <c r="I102" s="164" t="s">
        <v>318</v>
      </c>
      <c r="J102" s="166">
        <v>136840</v>
      </c>
      <c r="K102" s="201" t="s">
        <v>326</v>
      </c>
      <c r="L102" s="165">
        <v>0</v>
      </c>
      <c r="M102" s="165">
        <v>-6.97</v>
      </c>
      <c r="N102" s="165">
        <v>88.14</v>
      </c>
      <c r="O102" s="202">
        <f>Tabela9[[#This Row],[Swap]]+Tabela9[[#This Row],[Profit]]</f>
        <v>81.17</v>
      </c>
    </row>
    <row r="103" spans="1:15">
      <c r="A103" s="167"/>
      <c r="B103" s="200"/>
      <c r="C103" s="200"/>
      <c r="D103" s="200"/>
      <c r="E103" s="200"/>
      <c r="F103" s="200"/>
      <c r="G103" s="200"/>
      <c r="H103" s="200"/>
      <c r="I103" s="200"/>
      <c r="J103" s="167">
        <v>8855</v>
      </c>
      <c r="K103" s="163">
        <v>0</v>
      </c>
      <c r="L103" s="201"/>
      <c r="M103" s="201"/>
      <c r="N103" s="171"/>
      <c r="O103" s="202">
        <f>Tabela9[[#This Row],[Swap]]+Tabela9[[#This Row],[Profit]]</f>
        <v>0</v>
      </c>
    </row>
    <row r="104" spans="1:15">
      <c r="A104" s="163">
        <v>21297201</v>
      </c>
      <c r="B104" s="162" t="s">
        <v>319</v>
      </c>
      <c r="C104" s="163" t="s">
        <v>191</v>
      </c>
      <c r="D104" s="163">
        <v>0.53</v>
      </c>
      <c r="E104" s="163" t="s">
        <v>194</v>
      </c>
      <c r="F104" s="168">
        <v>136591</v>
      </c>
      <c r="G104" s="168">
        <v>137210</v>
      </c>
      <c r="H104" s="163">
        <v>0</v>
      </c>
      <c r="I104" s="162" t="s">
        <v>320</v>
      </c>
      <c r="J104" s="168">
        <v>137210</v>
      </c>
      <c r="K104" s="199" t="s">
        <v>295</v>
      </c>
      <c r="L104" s="163">
        <v>0</v>
      </c>
      <c r="M104" s="163">
        <v>0</v>
      </c>
      <c r="N104" s="163">
        <v>-328.07</v>
      </c>
      <c r="O104" s="202">
        <f>Tabela9[[#This Row],[Swap]]+Tabela9[[#This Row],[Profit]]</f>
        <v>-328.07</v>
      </c>
    </row>
    <row r="105" spans="1:15">
      <c r="A105" s="163"/>
      <c r="B105" s="199"/>
      <c r="C105" s="199"/>
      <c r="D105" s="199"/>
      <c r="E105" s="199"/>
      <c r="F105" s="199"/>
      <c r="G105" s="199"/>
      <c r="H105" s="199"/>
      <c r="I105" s="199"/>
      <c r="J105" s="163">
        <v>8855</v>
      </c>
      <c r="K105" s="165">
        <v>0</v>
      </c>
      <c r="L105" s="199"/>
      <c r="M105" s="199"/>
      <c r="N105" s="171"/>
      <c r="O105" s="202">
        <f>Tabela9[[#This Row],[Swap]]+Tabela9[[#This Row],[Profit]]</f>
        <v>0</v>
      </c>
    </row>
    <row r="106" spans="1:15">
      <c r="A106" s="165">
        <v>21313467</v>
      </c>
      <c r="B106" s="164" t="s">
        <v>327</v>
      </c>
      <c r="C106" s="165" t="s">
        <v>193</v>
      </c>
      <c r="D106" s="165">
        <v>1.5</v>
      </c>
      <c r="E106" s="165" t="s">
        <v>196</v>
      </c>
      <c r="F106" s="165">
        <v>0.89249000000000001</v>
      </c>
      <c r="G106" s="165">
        <v>0.89019999999999999</v>
      </c>
      <c r="H106" s="165">
        <v>0</v>
      </c>
      <c r="I106" s="164" t="s">
        <v>328</v>
      </c>
      <c r="J106" s="165">
        <v>0.89019999999999999</v>
      </c>
      <c r="K106" s="201" t="s">
        <v>295</v>
      </c>
      <c r="L106" s="165">
        <v>0</v>
      </c>
      <c r="M106" s="165">
        <v>0</v>
      </c>
      <c r="N106" s="165">
        <v>-385.87</v>
      </c>
      <c r="O106" s="202">
        <f>Tabela9[[#This Row],[Swap]]+Tabela9[[#This Row],[Profit]]</f>
        <v>-385.87</v>
      </c>
    </row>
    <row r="107" spans="1:15">
      <c r="A107" s="167"/>
      <c r="B107" s="200"/>
      <c r="C107" s="200"/>
      <c r="D107" s="200"/>
      <c r="E107" s="200"/>
      <c r="F107" s="200"/>
      <c r="G107" s="200"/>
      <c r="H107" s="200"/>
      <c r="I107" s="200"/>
      <c r="J107" s="167">
        <v>8855</v>
      </c>
      <c r="K107" s="163">
        <v>0</v>
      </c>
      <c r="L107" s="201"/>
      <c r="M107" s="201"/>
      <c r="N107" s="171"/>
      <c r="O107" s="202">
        <f>Tabela9[[#This Row],[Swap]]+Tabela9[[#This Row],[Profit]]</f>
        <v>0</v>
      </c>
    </row>
    <row r="108" spans="1:15">
      <c r="A108" s="163">
        <v>21320438</v>
      </c>
      <c r="B108" s="162" t="s">
        <v>329</v>
      </c>
      <c r="C108" s="163" t="s">
        <v>191</v>
      </c>
      <c r="D108" s="163">
        <v>2</v>
      </c>
      <c r="E108" s="163" t="s">
        <v>197</v>
      </c>
      <c r="F108" s="163">
        <v>0.93530999999999997</v>
      </c>
      <c r="G108" s="163">
        <v>0.93610000000000004</v>
      </c>
      <c r="H108" s="163">
        <v>0</v>
      </c>
      <c r="I108" s="162" t="s">
        <v>330</v>
      </c>
      <c r="J108" s="163">
        <v>0.93610000000000004</v>
      </c>
      <c r="K108" s="199" t="s">
        <v>295</v>
      </c>
      <c r="L108" s="163">
        <v>0</v>
      </c>
      <c r="M108" s="163">
        <v>0</v>
      </c>
      <c r="N108" s="163">
        <v>-158</v>
      </c>
      <c r="O108" s="202">
        <f>Tabela9[[#This Row],[Swap]]+Tabela9[[#This Row],[Profit]]</f>
        <v>-158</v>
      </c>
    </row>
    <row r="109" spans="1:15">
      <c r="A109" s="163"/>
      <c r="B109" s="199"/>
      <c r="C109" s="199"/>
      <c r="D109" s="199"/>
      <c r="E109" s="199"/>
      <c r="F109" s="199"/>
      <c r="G109" s="199"/>
      <c r="H109" s="199"/>
      <c r="I109" s="199"/>
      <c r="J109" s="163">
        <v>8855</v>
      </c>
      <c r="K109" s="165">
        <v>0</v>
      </c>
      <c r="L109" s="199"/>
      <c r="M109" s="199"/>
      <c r="N109" s="171"/>
      <c r="O109" s="202">
        <f>Tabela9[[#This Row],[Swap]]+Tabela9[[#This Row],[Profit]]</f>
        <v>0</v>
      </c>
    </row>
    <row r="110" spans="1:15">
      <c r="A110" s="165">
        <v>21229219</v>
      </c>
      <c r="B110" s="164" t="s">
        <v>331</v>
      </c>
      <c r="C110" s="165" t="s">
        <v>193</v>
      </c>
      <c r="D110" s="165">
        <v>1.28</v>
      </c>
      <c r="E110" s="165" t="s">
        <v>197</v>
      </c>
      <c r="F110" s="165">
        <v>0.93733999999999995</v>
      </c>
      <c r="G110" s="165">
        <v>0.92659999999999998</v>
      </c>
      <c r="H110" s="165">
        <v>0</v>
      </c>
      <c r="I110" s="164" t="s">
        <v>332</v>
      </c>
      <c r="J110" s="165">
        <v>0.92659999999999998</v>
      </c>
      <c r="K110" s="201" t="s">
        <v>339</v>
      </c>
      <c r="L110" s="165">
        <v>0</v>
      </c>
      <c r="M110" s="165">
        <v>68.349999999999994</v>
      </c>
      <c r="N110" s="165">
        <v>-1374.72</v>
      </c>
      <c r="O110" s="202">
        <f>Tabela9[[#This Row],[Swap]]+Tabela9[[#This Row],[Profit]]</f>
        <v>-1306.3700000000001</v>
      </c>
    </row>
    <row r="111" spans="1:15">
      <c r="A111" s="167"/>
      <c r="B111" s="200"/>
      <c r="C111" s="200"/>
      <c r="D111" s="200"/>
      <c r="E111" s="200"/>
      <c r="F111" s="200"/>
      <c r="G111" s="200"/>
      <c r="H111" s="200"/>
      <c r="I111" s="200"/>
      <c r="J111" s="167">
        <v>8855</v>
      </c>
      <c r="K111" s="163">
        <v>0</v>
      </c>
      <c r="L111" s="201"/>
      <c r="M111" s="201"/>
      <c r="N111" s="171"/>
      <c r="O111" s="202">
        <f>Tabela9[[#This Row],[Swap]]+Tabela9[[#This Row],[Profit]]</f>
        <v>0</v>
      </c>
    </row>
    <row r="112" spans="1:15">
      <c r="A112" s="163">
        <v>21333717</v>
      </c>
      <c r="B112" s="162" t="s">
        <v>333</v>
      </c>
      <c r="C112" s="163" t="s">
        <v>193</v>
      </c>
      <c r="D112" s="163">
        <v>1.56</v>
      </c>
      <c r="E112" s="163" t="s">
        <v>196</v>
      </c>
      <c r="F112" s="163">
        <v>0.89378999999999997</v>
      </c>
      <c r="G112" s="163">
        <v>0.89170000000000005</v>
      </c>
      <c r="H112" s="163">
        <v>0</v>
      </c>
      <c r="I112" s="162" t="s">
        <v>334</v>
      </c>
      <c r="J112" s="163">
        <v>0.89170000000000005</v>
      </c>
      <c r="K112" s="199" t="s">
        <v>295</v>
      </c>
      <c r="L112" s="163">
        <v>0</v>
      </c>
      <c r="M112" s="163">
        <v>0</v>
      </c>
      <c r="N112" s="163">
        <v>-365.64</v>
      </c>
      <c r="O112" s="202">
        <f>Tabela9[[#This Row],[Swap]]+Tabela9[[#This Row],[Profit]]</f>
        <v>-365.64</v>
      </c>
    </row>
    <row r="113" spans="1:15">
      <c r="A113" s="163"/>
      <c r="B113" s="199"/>
      <c r="C113" s="199"/>
      <c r="D113" s="199"/>
      <c r="E113" s="199"/>
      <c r="F113" s="199"/>
      <c r="G113" s="199"/>
      <c r="H113" s="199"/>
      <c r="I113" s="199"/>
      <c r="J113" s="163">
        <v>8855</v>
      </c>
      <c r="K113" s="165">
        <v>0</v>
      </c>
      <c r="L113" s="199"/>
      <c r="M113" s="199"/>
      <c r="N113" s="171"/>
      <c r="O113" s="202">
        <f>Tabela9[[#This Row],[Swap]]+Tabela9[[#This Row],[Profit]]</f>
        <v>0</v>
      </c>
    </row>
    <row r="114" spans="1:15">
      <c r="A114" s="165">
        <v>21328071</v>
      </c>
      <c r="B114" s="164" t="s">
        <v>335</v>
      </c>
      <c r="C114" s="165" t="s">
        <v>191</v>
      </c>
      <c r="D114" s="165">
        <v>1.61</v>
      </c>
      <c r="E114" s="165" t="s">
        <v>197</v>
      </c>
      <c r="F114" s="165">
        <v>0.93400000000000005</v>
      </c>
      <c r="G114" s="165">
        <v>0.93259999999999998</v>
      </c>
      <c r="H114" s="165">
        <v>0</v>
      </c>
      <c r="I114" s="164" t="s">
        <v>336</v>
      </c>
      <c r="J114" s="165">
        <v>0.92400000000000004</v>
      </c>
      <c r="K114" s="201" t="s">
        <v>295</v>
      </c>
      <c r="L114" s="165">
        <v>0</v>
      </c>
      <c r="M114" s="165">
        <v>-27.03</v>
      </c>
      <c r="N114" s="165">
        <v>1610</v>
      </c>
      <c r="O114" s="202">
        <f>Tabela9[[#This Row],[Swap]]+Tabela9[[#This Row],[Profit]]</f>
        <v>1582.97</v>
      </c>
    </row>
    <row r="115" spans="1:15">
      <c r="A115" s="167"/>
      <c r="B115" s="200"/>
      <c r="C115" s="200"/>
      <c r="D115" s="200"/>
      <c r="E115" s="200"/>
      <c r="F115" s="200"/>
      <c r="G115" s="200"/>
      <c r="H115" s="200"/>
      <c r="I115" s="200"/>
      <c r="J115" s="167">
        <v>8855</v>
      </c>
      <c r="K115" s="163">
        <v>0</v>
      </c>
      <c r="L115" s="201"/>
      <c r="M115" s="201"/>
      <c r="N115" s="171"/>
      <c r="O115" s="202">
        <f>Tabela9[[#This Row],[Swap]]+Tabela9[[#This Row],[Profit]]</f>
        <v>0</v>
      </c>
    </row>
    <row r="116" spans="1:15">
      <c r="A116" s="163">
        <v>21235846</v>
      </c>
      <c r="B116" s="162" t="s">
        <v>337</v>
      </c>
      <c r="C116" s="163" t="s">
        <v>191</v>
      </c>
      <c r="D116" s="163">
        <v>2.23</v>
      </c>
      <c r="E116" s="163" t="s">
        <v>192</v>
      </c>
      <c r="F116" s="163">
        <v>0.81903000000000004</v>
      </c>
      <c r="G116" s="163">
        <v>0.81599999999999995</v>
      </c>
      <c r="H116" s="163">
        <v>0</v>
      </c>
      <c r="I116" s="162" t="s">
        <v>338</v>
      </c>
      <c r="J116" s="163">
        <v>0.81006</v>
      </c>
      <c r="K116" s="199" t="s">
        <v>326</v>
      </c>
      <c r="L116" s="163">
        <v>0</v>
      </c>
      <c r="M116" s="163">
        <v>-20.73</v>
      </c>
      <c r="N116" s="163">
        <v>3378.82</v>
      </c>
      <c r="O116" s="202">
        <f>Tabela9[[#This Row],[Swap]]+Tabela9[[#This Row],[Profit]]</f>
        <v>3358.09</v>
      </c>
    </row>
    <row r="117" spans="1:15">
      <c r="A117" s="163"/>
      <c r="B117" s="199"/>
      <c r="C117" s="199"/>
      <c r="D117" s="199"/>
      <c r="E117" s="199"/>
      <c r="F117" s="199"/>
      <c r="G117" s="199"/>
      <c r="H117" s="199"/>
      <c r="I117" s="199"/>
      <c r="J117" s="163">
        <v>8855</v>
      </c>
      <c r="K117" s="165">
        <v>0</v>
      </c>
      <c r="L117" s="199"/>
      <c r="M117" s="199"/>
      <c r="N117" s="171"/>
      <c r="O117" s="202">
        <f>Tabela9[[#This Row],[Swap]]+Tabela9[[#This Row],[Profit]]</f>
        <v>0</v>
      </c>
    </row>
    <row r="118" spans="1:15">
      <c r="A118" s="165">
        <v>21333692</v>
      </c>
      <c r="B118" s="164" t="s">
        <v>340</v>
      </c>
      <c r="C118" s="165" t="s">
        <v>191</v>
      </c>
      <c r="D118" s="165">
        <v>2.0499999999999998</v>
      </c>
      <c r="E118" s="165" t="s">
        <v>192</v>
      </c>
      <c r="F118" s="165">
        <v>0.81433</v>
      </c>
      <c r="G118" s="165">
        <v>0.81430000000000002</v>
      </c>
      <c r="H118" s="165">
        <v>0</v>
      </c>
      <c r="I118" s="164" t="s">
        <v>341</v>
      </c>
      <c r="J118" s="165">
        <v>0.80893000000000004</v>
      </c>
      <c r="K118" s="201" t="s">
        <v>295</v>
      </c>
      <c r="L118" s="165">
        <v>0</v>
      </c>
      <c r="M118" s="165">
        <v>-1.73</v>
      </c>
      <c r="N118" s="165">
        <v>1869.89</v>
      </c>
      <c r="O118" s="202">
        <f>Tabela9[[#This Row],[Swap]]+Tabela9[[#This Row],[Profit]]</f>
        <v>1868.16</v>
      </c>
    </row>
    <row r="119" spans="1:15">
      <c r="A119" s="187">
        <v>21348283</v>
      </c>
      <c r="B119" s="188" t="s">
        <v>346</v>
      </c>
      <c r="C119" s="187" t="s">
        <v>191</v>
      </c>
      <c r="D119" s="187" t="s">
        <v>323</v>
      </c>
      <c r="E119" s="187" t="s">
        <v>194</v>
      </c>
      <c r="F119" s="189">
        <v>136752</v>
      </c>
      <c r="G119" s="189">
        <v>136840</v>
      </c>
      <c r="H119" s="187" t="s">
        <v>321</v>
      </c>
      <c r="I119" s="188" t="s">
        <v>347</v>
      </c>
      <c r="J119" s="189">
        <v>136840</v>
      </c>
      <c r="K119" s="201" t="s">
        <v>295</v>
      </c>
      <c r="L119" s="187" t="s">
        <v>322</v>
      </c>
      <c r="M119" s="187">
        <v>0</v>
      </c>
      <c r="N119" s="187">
        <v>-90.64</v>
      </c>
      <c r="O119" s="202">
        <f>Tabela9[[#This Row],[Swap]]+Tabela9[[#This Row],[Profit]]</f>
        <v>-90.64</v>
      </c>
    </row>
    <row r="120" spans="1:15">
      <c r="A120" s="185">
        <v>21349270</v>
      </c>
      <c r="B120" s="186" t="s">
        <v>348</v>
      </c>
      <c r="C120" s="185" t="s">
        <v>191</v>
      </c>
      <c r="D120" s="185" t="s">
        <v>325</v>
      </c>
      <c r="E120" s="185" t="s">
        <v>194</v>
      </c>
      <c r="F120" s="190">
        <v>136670</v>
      </c>
      <c r="G120" s="190">
        <v>136840</v>
      </c>
      <c r="H120" s="185" t="s">
        <v>321</v>
      </c>
      <c r="I120" s="186" t="s">
        <v>347</v>
      </c>
      <c r="J120" s="190">
        <v>136840</v>
      </c>
      <c r="K120" s="201" t="s">
        <v>326</v>
      </c>
      <c r="L120" s="185" t="s">
        <v>322</v>
      </c>
      <c r="M120" s="185">
        <v>0</v>
      </c>
      <c r="N120" s="185">
        <v>-221</v>
      </c>
      <c r="O120" s="202">
        <f>Tabela9[[#This Row],[Swap]]+Tabela9[[#This Row],[Profit]]</f>
        <v>-221</v>
      </c>
    </row>
    <row r="121" spans="1:15">
      <c r="A121" s="187">
        <v>21349967</v>
      </c>
      <c r="B121" s="188" t="s">
        <v>349</v>
      </c>
      <c r="C121" s="187" t="s">
        <v>191</v>
      </c>
      <c r="D121" s="187" t="s">
        <v>324</v>
      </c>
      <c r="E121" s="187" t="s">
        <v>197</v>
      </c>
      <c r="F121" s="187" t="s">
        <v>350</v>
      </c>
      <c r="G121" s="187" t="s">
        <v>351</v>
      </c>
      <c r="H121" s="187" t="s">
        <v>321</v>
      </c>
      <c r="I121" s="188" t="s">
        <v>352</v>
      </c>
      <c r="J121" s="187" t="s">
        <v>351</v>
      </c>
      <c r="K121" s="201" t="s">
        <v>295</v>
      </c>
      <c r="L121" s="187" t="s">
        <v>322</v>
      </c>
      <c r="M121" s="187">
        <v>0</v>
      </c>
      <c r="N121" s="187">
        <v>-388.07</v>
      </c>
      <c r="O121" s="203">
        <f>Tabela9[[#This Row],[Swap]]+Tabela9[[#This Row],[Profit]]</f>
        <v>-388.07</v>
      </c>
    </row>
    <row r="122" spans="1:15">
      <c r="A122" s="185">
        <v>21350931</v>
      </c>
      <c r="B122" s="186" t="s">
        <v>353</v>
      </c>
      <c r="C122" s="185" t="s">
        <v>193</v>
      </c>
      <c r="D122" s="185" t="s">
        <v>354</v>
      </c>
      <c r="E122" s="185" t="s">
        <v>198</v>
      </c>
      <c r="F122" s="190">
        <v>109424</v>
      </c>
      <c r="G122" s="190">
        <v>109060</v>
      </c>
      <c r="H122" s="185" t="s">
        <v>321</v>
      </c>
      <c r="I122" s="186" t="s">
        <v>355</v>
      </c>
      <c r="J122" s="190">
        <v>109060</v>
      </c>
      <c r="K122" s="201" t="s">
        <v>295</v>
      </c>
      <c r="L122" s="185" t="s">
        <v>322</v>
      </c>
      <c r="M122" s="185">
        <v>-19.78</v>
      </c>
      <c r="N122" s="185">
        <v>-363.8</v>
      </c>
      <c r="O122" s="202">
        <f>Tabela9[[#This Row],[Swap]]+Tabela9[[#This Row],[Profit]]</f>
        <v>-383.58000000000004</v>
      </c>
    </row>
    <row r="123" spans="1:15">
      <c r="A123" s="187">
        <v>21352984</v>
      </c>
      <c r="B123" s="188" t="s">
        <v>356</v>
      </c>
      <c r="C123" s="187" t="s">
        <v>193</v>
      </c>
      <c r="D123" s="187" t="s">
        <v>357</v>
      </c>
      <c r="E123" s="187" t="s">
        <v>196</v>
      </c>
      <c r="F123" s="187" t="s">
        <v>358</v>
      </c>
      <c r="G123" s="187" t="s">
        <v>359</v>
      </c>
      <c r="H123" s="187" t="s">
        <v>321</v>
      </c>
      <c r="I123" s="188" t="s">
        <v>360</v>
      </c>
      <c r="J123" s="187" t="s">
        <v>359</v>
      </c>
      <c r="K123" s="201" t="s">
        <v>326</v>
      </c>
      <c r="L123" s="187" t="s">
        <v>322</v>
      </c>
      <c r="M123" s="187">
        <v>-9.3800000000000008</v>
      </c>
      <c r="N123" s="187">
        <v>-859.55</v>
      </c>
      <c r="O123" s="202">
        <f>Tabela9[[#This Row],[Swap]]+Tabela9[[#This Row],[Profit]]</f>
        <v>-868.93</v>
      </c>
    </row>
    <row r="124" spans="1:15">
      <c r="A124" s="185">
        <v>21334343</v>
      </c>
      <c r="B124" s="186" t="s">
        <v>361</v>
      </c>
      <c r="C124" s="185" t="s">
        <v>193</v>
      </c>
      <c r="D124" s="185" t="s">
        <v>362</v>
      </c>
      <c r="E124" s="185" t="s">
        <v>195</v>
      </c>
      <c r="F124" s="190">
        <v>168456</v>
      </c>
      <c r="G124" s="190">
        <v>168500</v>
      </c>
      <c r="H124" s="185" t="s">
        <v>321</v>
      </c>
      <c r="I124" s="186" t="s">
        <v>363</v>
      </c>
      <c r="J124" s="190">
        <v>168500</v>
      </c>
      <c r="K124" s="201" t="s">
        <v>295</v>
      </c>
      <c r="L124" s="185" t="s">
        <v>322</v>
      </c>
      <c r="M124" s="185">
        <v>-3.17</v>
      </c>
      <c r="N124" s="185">
        <v>31.68</v>
      </c>
      <c r="O124" s="203">
        <f>Tabela9[[#This Row],[Swap]]+Tabela9[[#This Row],[Profit]]</f>
        <v>28.509999999999998</v>
      </c>
    </row>
    <row r="125" spans="1:15">
      <c r="A125" s="170"/>
      <c r="B125" s="170"/>
      <c r="C125" s="170"/>
      <c r="D125" s="170"/>
      <c r="E125" s="170"/>
      <c r="F125" s="170"/>
      <c r="G125" s="170"/>
      <c r="H125" s="170"/>
      <c r="I125" s="170"/>
      <c r="J125" s="167"/>
      <c r="K125" s="163"/>
      <c r="L125" s="165"/>
      <c r="M125" s="165"/>
      <c r="N125" s="178"/>
    </row>
    <row r="126" spans="1:15">
      <c r="A126" s="161"/>
      <c r="B126" s="162"/>
      <c r="C126" s="163"/>
      <c r="D126" s="163"/>
      <c r="E126" s="163"/>
      <c r="F126" s="168"/>
      <c r="G126" s="168"/>
      <c r="H126" s="163"/>
      <c r="I126" s="162"/>
      <c r="J126" s="168"/>
      <c r="K126" s="163"/>
      <c r="L126" s="163"/>
      <c r="M126" s="163"/>
      <c r="N126" s="179"/>
    </row>
    <row r="127" spans="1:15">
      <c r="A127" s="161"/>
      <c r="B127" s="161"/>
      <c r="C127" s="161"/>
      <c r="D127" s="161"/>
      <c r="E127" s="161"/>
      <c r="F127" s="161"/>
      <c r="G127" s="161"/>
      <c r="H127" s="161"/>
      <c r="I127" s="161"/>
      <c r="J127" s="163"/>
      <c r="K127" s="165"/>
      <c r="L127" s="163"/>
      <c r="M127" s="163"/>
      <c r="N127" s="178"/>
    </row>
    <row r="128" spans="1:15">
      <c r="A128" s="176"/>
      <c r="B128" s="164"/>
      <c r="C128" s="165"/>
      <c r="D128" s="165"/>
      <c r="E128" s="165"/>
      <c r="F128" s="165"/>
      <c r="G128" s="165"/>
      <c r="H128" s="165"/>
      <c r="I128" s="164"/>
      <c r="J128" s="165"/>
      <c r="K128" s="165"/>
      <c r="L128" s="165"/>
      <c r="M128" s="165"/>
      <c r="N128" s="177"/>
    </row>
    <row r="129" spans="1:14">
      <c r="A129" s="170"/>
      <c r="B129" s="170"/>
      <c r="C129" s="170"/>
      <c r="D129" s="170"/>
      <c r="E129" s="170"/>
      <c r="F129" s="170"/>
      <c r="G129" s="170"/>
      <c r="H129" s="170"/>
      <c r="I129" s="170"/>
      <c r="J129" s="167"/>
      <c r="K129" s="163"/>
      <c r="L129" s="165"/>
      <c r="M129" s="165"/>
      <c r="N129" s="178"/>
    </row>
    <row r="130" spans="1:14">
      <c r="A130" s="161"/>
      <c r="B130" s="162"/>
      <c r="C130" s="163"/>
      <c r="D130" s="163"/>
      <c r="E130" s="163"/>
      <c r="F130" s="168"/>
      <c r="G130" s="168"/>
      <c r="H130" s="163"/>
      <c r="I130" s="162"/>
      <c r="J130" s="168"/>
      <c r="K130" s="163"/>
      <c r="L130" s="163"/>
      <c r="M130" s="163"/>
      <c r="N130" s="179"/>
    </row>
    <row r="131" spans="1:14">
      <c r="A131" s="161"/>
      <c r="B131" s="161"/>
      <c r="C131" s="161"/>
      <c r="D131" s="161"/>
      <c r="E131" s="161"/>
      <c r="F131" s="161"/>
      <c r="G131" s="161"/>
      <c r="H131" s="161"/>
      <c r="I131" s="161"/>
      <c r="J131" s="163"/>
      <c r="K131" s="165"/>
      <c r="L131" s="163"/>
      <c r="M131" s="163"/>
      <c r="N131" s="178"/>
    </row>
    <row r="132" spans="1:14">
      <c r="A132" s="176"/>
      <c r="B132" s="164"/>
      <c r="C132" s="165"/>
      <c r="D132" s="165"/>
      <c r="E132" s="165"/>
      <c r="F132" s="165"/>
      <c r="G132" s="165"/>
      <c r="H132" s="165"/>
      <c r="I132" s="164"/>
      <c r="J132" s="165"/>
      <c r="K132" s="165"/>
      <c r="L132" s="165"/>
      <c r="M132" s="165"/>
      <c r="N132" s="177"/>
    </row>
    <row r="133" spans="1:14">
      <c r="A133" s="170"/>
      <c r="B133" s="170"/>
      <c r="C133" s="170"/>
      <c r="D133" s="170"/>
      <c r="E133" s="170"/>
      <c r="F133" s="170"/>
      <c r="G133" s="170"/>
      <c r="H133" s="170"/>
      <c r="I133" s="170"/>
      <c r="J133" s="167"/>
      <c r="K133" s="163"/>
      <c r="L133" s="165"/>
      <c r="M133" s="165"/>
      <c r="N133" s="178"/>
    </row>
    <row r="134" spans="1:14">
      <c r="A134" s="161"/>
      <c r="B134" s="162"/>
      <c r="C134" s="163"/>
      <c r="D134" s="163"/>
      <c r="E134" s="163"/>
      <c r="F134" s="168"/>
      <c r="G134" s="168"/>
      <c r="H134" s="163"/>
      <c r="I134" s="162"/>
      <c r="J134" s="168"/>
      <c r="K134" s="163"/>
      <c r="L134" s="163"/>
      <c r="M134" s="163"/>
      <c r="N134" s="179"/>
    </row>
    <row r="135" spans="1:14">
      <c r="A135" s="161"/>
      <c r="B135" s="161"/>
      <c r="C135" s="161"/>
      <c r="D135" s="161"/>
      <c r="E135" s="161"/>
      <c r="F135" s="161"/>
      <c r="G135" s="161"/>
      <c r="H135" s="161"/>
      <c r="I135" s="161"/>
      <c r="J135" s="163"/>
      <c r="K135" s="165"/>
      <c r="L135" s="163"/>
      <c r="M135" s="163"/>
      <c r="N135" s="178"/>
    </row>
    <row r="136" spans="1:14">
      <c r="A136" s="176"/>
      <c r="B136" s="164"/>
      <c r="C136" s="165"/>
      <c r="D136" s="165"/>
      <c r="E136" s="165"/>
      <c r="F136" s="166"/>
      <c r="G136" s="166"/>
      <c r="H136" s="165"/>
      <c r="I136" s="164"/>
      <c r="J136" s="166"/>
      <c r="K136" s="165"/>
      <c r="L136" s="165"/>
      <c r="M136" s="165"/>
      <c r="N136" s="177"/>
    </row>
    <row r="137" spans="1:14">
      <c r="A137" s="170"/>
      <c r="B137" s="170"/>
      <c r="C137" s="170"/>
      <c r="D137" s="170"/>
      <c r="E137" s="170"/>
      <c r="F137" s="170"/>
      <c r="G137" s="170"/>
      <c r="H137" s="170"/>
      <c r="I137" s="170"/>
      <c r="J137" s="167"/>
      <c r="K137" s="163"/>
      <c r="L137" s="165"/>
      <c r="M137" s="165"/>
      <c r="N137" s="178"/>
    </row>
    <row r="138" spans="1:14">
      <c r="A138" s="161"/>
      <c r="B138" s="162"/>
      <c r="C138" s="163"/>
      <c r="D138" s="163"/>
      <c r="E138" s="163"/>
      <c r="F138" s="163"/>
      <c r="G138" s="163"/>
      <c r="H138" s="163"/>
      <c r="I138" s="162"/>
      <c r="J138" s="163"/>
      <c r="K138" s="163"/>
      <c r="L138" s="163"/>
      <c r="M138" s="163"/>
      <c r="N138" s="179"/>
    </row>
    <row r="139" spans="1:14">
      <c r="A139" s="161"/>
      <c r="B139" s="161"/>
      <c r="C139" s="161"/>
      <c r="D139" s="161"/>
      <c r="E139" s="161"/>
      <c r="F139" s="161"/>
      <c r="G139" s="161"/>
      <c r="H139" s="161"/>
      <c r="I139" s="161"/>
      <c r="J139" s="163"/>
      <c r="K139" s="165"/>
      <c r="L139" s="163"/>
      <c r="M139" s="163"/>
      <c r="N139" s="178"/>
    </row>
    <row r="140" spans="1:14">
      <c r="A140" s="176"/>
      <c r="B140" s="164"/>
      <c r="C140" s="165"/>
      <c r="D140" s="165"/>
      <c r="E140" s="165"/>
      <c r="F140" s="165"/>
      <c r="G140" s="165"/>
      <c r="H140" s="165"/>
      <c r="I140" s="164"/>
      <c r="J140" s="165"/>
      <c r="K140" s="165"/>
      <c r="L140" s="165"/>
      <c r="M140" s="165"/>
      <c r="N140" s="177"/>
    </row>
    <row r="141" spans="1:14">
      <c r="A141" s="170"/>
      <c r="B141" s="170"/>
      <c r="C141" s="170"/>
      <c r="D141" s="170"/>
      <c r="E141" s="170"/>
      <c r="F141" s="170"/>
      <c r="G141" s="170"/>
      <c r="H141" s="170"/>
      <c r="I141" s="170"/>
      <c r="J141" s="167"/>
      <c r="K141" s="163"/>
      <c r="L141" s="165"/>
      <c r="M141" s="165"/>
      <c r="N141" s="178"/>
    </row>
    <row r="142" spans="1:14">
      <c r="A142" s="161"/>
      <c r="B142" s="162"/>
      <c r="C142" s="163"/>
      <c r="D142" s="163"/>
      <c r="E142" s="163"/>
      <c r="F142" s="168"/>
      <c r="G142" s="168"/>
      <c r="H142" s="163"/>
      <c r="I142" s="162"/>
      <c r="J142" s="168"/>
      <c r="K142" s="163"/>
      <c r="L142" s="163"/>
      <c r="M142" s="163"/>
      <c r="N142" s="179"/>
    </row>
    <row r="143" spans="1:14">
      <c r="A143" s="161"/>
      <c r="B143" s="161"/>
      <c r="C143" s="161"/>
      <c r="D143" s="161"/>
      <c r="E143" s="161"/>
      <c r="F143" s="161"/>
      <c r="G143" s="161"/>
      <c r="H143" s="161"/>
      <c r="I143" s="161"/>
      <c r="J143" s="163"/>
      <c r="K143" s="165"/>
      <c r="L143" s="163"/>
      <c r="M143" s="163"/>
      <c r="N143" s="178"/>
    </row>
    <row r="144" spans="1:14">
      <c r="A144" s="176"/>
      <c r="B144" s="164"/>
      <c r="C144" s="165"/>
      <c r="D144" s="165"/>
      <c r="E144" s="165"/>
      <c r="F144" s="165"/>
      <c r="G144" s="165"/>
      <c r="H144" s="165"/>
      <c r="I144" s="164"/>
      <c r="J144" s="165"/>
      <c r="K144" s="165"/>
      <c r="L144" s="165"/>
      <c r="M144" s="165"/>
      <c r="N144" s="177"/>
    </row>
    <row r="145" spans="1:14">
      <c r="A145" s="170"/>
      <c r="B145" s="170"/>
      <c r="C145" s="170"/>
      <c r="D145" s="170"/>
      <c r="E145" s="170"/>
      <c r="F145" s="170"/>
      <c r="G145" s="170"/>
      <c r="H145" s="170"/>
      <c r="I145" s="170"/>
      <c r="J145" s="167"/>
      <c r="K145" s="163"/>
      <c r="L145" s="165"/>
      <c r="M145" s="165"/>
      <c r="N145" s="178"/>
    </row>
    <row r="146" spans="1:14">
      <c r="A146" s="161"/>
      <c r="B146" s="162"/>
      <c r="C146" s="163"/>
      <c r="D146" s="163"/>
      <c r="E146" s="163"/>
      <c r="F146" s="163"/>
      <c r="G146" s="163"/>
      <c r="H146" s="163"/>
      <c r="I146" s="162"/>
      <c r="J146" s="163"/>
      <c r="K146" s="163"/>
      <c r="L146" s="163"/>
      <c r="M146" s="163"/>
      <c r="N146" s="179"/>
    </row>
    <row r="147" spans="1:14">
      <c r="A147" s="161"/>
      <c r="B147" s="161"/>
      <c r="C147" s="161"/>
      <c r="D147" s="161"/>
      <c r="E147" s="161"/>
      <c r="F147" s="161"/>
      <c r="G147" s="161"/>
      <c r="H147" s="161"/>
      <c r="I147" s="161"/>
      <c r="J147" s="163"/>
      <c r="K147" s="165"/>
      <c r="L147" s="163"/>
      <c r="M147" s="163"/>
      <c r="N147" s="178"/>
    </row>
    <row r="148" spans="1:14">
      <c r="A148" s="176"/>
      <c r="B148" s="164"/>
      <c r="C148" s="165"/>
      <c r="D148" s="165"/>
      <c r="E148" s="165"/>
      <c r="F148" s="166"/>
      <c r="G148" s="166"/>
      <c r="H148" s="165"/>
      <c r="I148" s="164"/>
      <c r="J148" s="166"/>
      <c r="K148" s="165"/>
      <c r="L148" s="165"/>
      <c r="M148" s="165"/>
      <c r="N148" s="177"/>
    </row>
    <row r="149" spans="1:14">
      <c r="A149" s="170"/>
      <c r="B149" s="170"/>
      <c r="C149" s="170"/>
      <c r="D149" s="170"/>
      <c r="E149" s="170"/>
      <c r="F149" s="170"/>
      <c r="G149" s="170"/>
      <c r="H149" s="170"/>
      <c r="I149" s="170"/>
      <c r="J149" s="167"/>
      <c r="K149" s="163"/>
      <c r="L149" s="165"/>
      <c r="M149" s="165"/>
      <c r="N149" s="178"/>
    </row>
    <row r="150" spans="1:14">
      <c r="A150" s="161"/>
      <c r="B150" s="162"/>
      <c r="C150" s="163"/>
      <c r="D150" s="163"/>
      <c r="E150" s="163"/>
      <c r="F150" s="163"/>
      <c r="G150" s="163"/>
      <c r="H150" s="163"/>
      <c r="I150" s="162"/>
      <c r="J150" s="163"/>
      <c r="K150" s="163"/>
      <c r="L150" s="163"/>
      <c r="M150" s="163"/>
      <c r="N150" s="179"/>
    </row>
    <row r="151" spans="1:14">
      <c r="A151" s="161"/>
      <c r="B151" s="161"/>
      <c r="C151" s="161"/>
      <c r="D151" s="161"/>
      <c r="E151" s="161"/>
      <c r="F151" s="161"/>
      <c r="G151" s="161"/>
      <c r="H151" s="161"/>
      <c r="I151" s="161"/>
      <c r="J151" s="163"/>
      <c r="K151" s="165"/>
      <c r="L151" s="163"/>
      <c r="M151" s="163"/>
      <c r="N151" s="178"/>
    </row>
    <row r="152" spans="1:14">
      <c r="A152" s="176"/>
      <c r="B152" s="164"/>
      <c r="C152" s="165"/>
      <c r="D152" s="165"/>
      <c r="E152" s="165"/>
      <c r="F152" s="166"/>
      <c r="G152" s="166"/>
      <c r="H152" s="165"/>
      <c r="I152" s="164"/>
      <c r="J152" s="166"/>
      <c r="K152" s="165"/>
      <c r="L152" s="165"/>
      <c r="M152" s="165"/>
      <c r="N152" s="177"/>
    </row>
    <row r="153" spans="1:14">
      <c r="A153" s="170"/>
      <c r="B153" s="170"/>
      <c r="C153" s="170"/>
      <c r="D153" s="170"/>
      <c r="E153" s="170"/>
      <c r="F153" s="170"/>
      <c r="G153" s="170"/>
      <c r="H153" s="170"/>
      <c r="I153" s="170"/>
      <c r="J153" s="167"/>
      <c r="K153" s="163"/>
      <c r="L153" s="165"/>
      <c r="M153" s="165"/>
      <c r="N153" s="178"/>
    </row>
    <row r="154" spans="1:14">
      <c r="A154" s="161"/>
      <c r="B154" s="162"/>
      <c r="C154" s="163"/>
      <c r="D154" s="163"/>
      <c r="E154" s="163"/>
      <c r="F154" s="163"/>
      <c r="G154" s="163"/>
      <c r="H154" s="163"/>
      <c r="I154" s="162"/>
      <c r="J154" s="163"/>
      <c r="K154" s="163"/>
      <c r="L154" s="163"/>
      <c r="M154" s="163"/>
      <c r="N154" s="179"/>
    </row>
    <row r="155" spans="1:14">
      <c r="A155" s="161"/>
      <c r="B155" s="161"/>
      <c r="C155" s="161"/>
      <c r="D155" s="161"/>
      <c r="E155" s="161"/>
      <c r="F155" s="161"/>
      <c r="G155" s="161"/>
      <c r="H155" s="161"/>
      <c r="I155" s="161"/>
      <c r="J155" s="163"/>
      <c r="K155" s="165"/>
      <c r="L155" s="163"/>
      <c r="M155" s="163"/>
      <c r="N155" s="178"/>
    </row>
    <row r="156" spans="1:14">
      <c r="A156" s="176"/>
      <c r="B156" s="164"/>
      <c r="C156" s="165"/>
      <c r="D156" s="165"/>
      <c r="E156" s="165"/>
      <c r="F156" s="165"/>
      <c r="G156" s="165"/>
      <c r="H156" s="165"/>
      <c r="I156" s="164"/>
      <c r="J156" s="165"/>
      <c r="K156" s="165"/>
      <c r="L156" s="165"/>
      <c r="M156" s="165"/>
      <c r="N156" s="177"/>
    </row>
    <row r="157" spans="1:14">
      <c r="A157" s="170"/>
      <c r="B157" s="170"/>
      <c r="C157" s="170"/>
      <c r="D157" s="170"/>
      <c r="E157" s="170"/>
      <c r="F157" s="170"/>
      <c r="G157" s="170"/>
      <c r="H157" s="170"/>
      <c r="I157" s="170"/>
      <c r="J157" s="167"/>
      <c r="K157" s="163"/>
      <c r="L157" s="165"/>
      <c r="M157" s="165"/>
      <c r="N157" s="178"/>
    </row>
    <row r="158" spans="1:14">
      <c r="A158" s="161"/>
      <c r="B158" s="162"/>
      <c r="C158" s="163"/>
      <c r="D158" s="163"/>
      <c r="E158" s="163"/>
      <c r="F158" s="163"/>
      <c r="G158" s="163"/>
      <c r="H158" s="163"/>
      <c r="I158" s="162"/>
      <c r="J158" s="163"/>
      <c r="K158" s="163"/>
      <c r="L158" s="163"/>
      <c r="M158" s="163"/>
      <c r="N158" s="179"/>
    </row>
    <row r="159" spans="1:14">
      <c r="A159" s="161"/>
      <c r="B159" s="161"/>
      <c r="C159" s="161"/>
      <c r="D159" s="161"/>
      <c r="E159" s="161"/>
      <c r="F159" s="161"/>
      <c r="G159" s="161"/>
      <c r="H159" s="161"/>
      <c r="I159" s="161"/>
      <c r="J159" s="163"/>
      <c r="K159" s="165"/>
      <c r="L159" s="163"/>
      <c r="M159" s="163"/>
      <c r="N159" s="178"/>
    </row>
    <row r="160" spans="1:14">
      <c r="A160" s="176"/>
      <c r="B160" s="164"/>
      <c r="C160" s="165"/>
      <c r="D160" s="165"/>
      <c r="E160" s="165"/>
      <c r="F160" s="165"/>
      <c r="G160" s="165"/>
      <c r="H160" s="165"/>
      <c r="I160" s="164"/>
      <c r="J160" s="165"/>
      <c r="K160" s="165"/>
      <c r="L160" s="165"/>
      <c r="M160" s="165"/>
      <c r="N160" s="177"/>
    </row>
    <row r="161" spans="1:14">
      <c r="A161" s="170"/>
      <c r="B161" s="170"/>
      <c r="C161" s="170"/>
      <c r="D161" s="170"/>
      <c r="E161" s="170"/>
      <c r="F161" s="170"/>
      <c r="G161" s="170"/>
      <c r="H161" s="170"/>
      <c r="I161" s="170"/>
      <c r="J161" s="167"/>
      <c r="K161" s="163"/>
      <c r="L161" s="165"/>
      <c r="M161" s="165"/>
      <c r="N161" s="178"/>
    </row>
    <row r="162" spans="1:14">
      <c r="A162" s="161"/>
      <c r="B162" s="162"/>
      <c r="C162" s="163"/>
      <c r="D162" s="163"/>
      <c r="E162" s="163"/>
      <c r="F162" s="163"/>
      <c r="G162" s="163"/>
      <c r="H162" s="163"/>
      <c r="I162" s="162"/>
      <c r="J162" s="163"/>
      <c r="K162" s="163"/>
      <c r="L162" s="163"/>
      <c r="M162" s="163"/>
      <c r="N162" s="179"/>
    </row>
    <row r="163" spans="1:14">
      <c r="A163" s="161"/>
      <c r="B163" s="161"/>
      <c r="C163" s="161"/>
      <c r="D163" s="161"/>
      <c r="E163" s="161"/>
      <c r="F163" s="161"/>
      <c r="G163" s="161"/>
      <c r="H163" s="161"/>
      <c r="I163" s="161"/>
      <c r="J163" s="163"/>
      <c r="K163" s="165"/>
      <c r="L163" s="163"/>
      <c r="M163" s="163"/>
      <c r="N163" s="178"/>
    </row>
    <row r="164" spans="1:14">
      <c r="A164" s="176"/>
      <c r="B164" s="164"/>
      <c r="C164" s="165"/>
      <c r="D164" s="165"/>
      <c r="E164" s="165"/>
      <c r="F164" s="166"/>
      <c r="G164" s="166"/>
      <c r="H164" s="165"/>
      <c r="I164" s="164"/>
      <c r="J164" s="166"/>
      <c r="K164" s="165"/>
      <c r="L164" s="165"/>
      <c r="M164" s="165"/>
      <c r="N164" s="177"/>
    </row>
    <row r="165" spans="1:14">
      <c r="A165" s="170"/>
      <c r="B165" s="170"/>
      <c r="C165" s="170"/>
      <c r="D165" s="170"/>
      <c r="E165" s="170"/>
      <c r="F165" s="170"/>
      <c r="G165" s="170"/>
      <c r="H165" s="170"/>
      <c r="I165" s="170"/>
      <c r="J165" s="167"/>
      <c r="K165" s="163"/>
      <c r="L165" s="165"/>
      <c r="M165" s="165"/>
      <c r="N165" s="178"/>
    </row>
    <row r="166" spans="1:14">
      <c r="A166" s="161"/>
      <c r="B166" s="162"/>
      <c r="C166" s="163"/>
      <c r="D166" s="163"/>
      <c r="E166" s="163"/>
      <c r="F166" s="168"/>
      <c r="G166" s="168"/>
      <c r="H166" s="163"/>
      <c r="I166" s="162"/>
      <c r="J166" s="168"/>
      <c r="K166" s="163"/>
      <c r="L166" s="163"/>
      <c r="M166" s="163"/>
      <c r="N166" s="179"/>
    </row>
    <row r="167" spans="1:14">
      <c r="A167" s="161"/>
      <c r="B167" s="161"/>
      <c r="C167" s="161"/>
      <c r="D167" s="161"/>
      <c r="E167" s="161"/>
      <c r="F167" s="161"/>
      <c r="G167" s="161"/>
      <c r="H167" s="161"/>
      <c r="I167" s="161"/>
      <c r="J167" s="163"/>
      <c r="K167" s="165"/>
      <c r="L167" s="163"/>
      <c r="M167" s="163"/>
      <c r="N167" s="178"/>
    </row>
    <row r="168" spans="1:14">
      <c r="A168" s="176"/>
      <c r="B168" s="164"/>
      <c r="C168" s="165"/>
      <c r="D168" s="165"/>
      <c r="E168" s="165"/>
      <c r="F168" s="166"/>
      <c r="G168" s="166"/>
      <c r="H168" s="165"/>
      <c r="I168" s="164"/>
      <c r="J168" s="166"/>
      <c r="K168" s="165"/>
      <c r="L168" s="165"/>
      <c r="M168" s="165"/>
      <c r="N168" s="177"/>
    </row>
    <row r="169" spans="1:14">
      <c r="A169" s="170"/>
      <c r="B169" s="170"/>
      <c r="C169" s="170"/>
      <c r="D169" s="170"/>
      <c r="E169" s="170"/>
      <c r="F169" s="170"/>
      <c r="G169" s="170"/>
      <c r="H169" s="170"/>
      <c r="I169" s="170"/>
      <c r="J169" s="167"/>
      <c r="K169" s="163"/>
      <c r="L169" s="165"/>
      <c r="M169" s="165"/>
      <c r="N169" s="178"/>
    </row>
    <row r="170" spans="1:14">
      <c r="A170" s="161"/>
      <c r="B170" s="162"/>
      <c r="C170" s="163"/>
      <c r="D170" s="163"/>
      <c r="E170" s="163"/>
      <c r="F170" s="168"/>
      <c r="G170" s="168"/>
      <c r="H170" s="163"/>
      <c r="I170" s="162"/>
      <c r="J170" s="168"/>
      <c r="K170" s="163"/>
      <c r="L170" s="163"/>
      <c r="M170" s="163"/>
      <c r="N170" s="179"/>
    </row>
    <row r="171" spans="1:14">
      <c r="A171" s="161"/>
      <c r="B171" s="161"/>
      <c r="C171" s="161"/>
      <c r="D171" s="161"/>
      <c r="E171" s="161"/>
      <c r="F171" s="161"/>
      <c r="G171" s="161"/>
      <c r="H171" s="161"/>
      <c r="I171" s="161"/>
      <c r="J171" s="163"/>
      <c r="K171" s="165"/>
      <c r="L171" s="163"/>
      <c r="M171" s="163"/>
      <c r="N171" s="178"/>
    </row>
    <row r="172" spans="1:14">
      <c r="A172" s="176"/>
      <c r="B172" s="164"/>
      <c r="C172" s="165"/>
      <c r="D172" s="165"/>
      <c r="E172" s="165"/>
      <c r="F172" s="165"/>
      <c r="G172" s="165"/>
      <c r="H172" s="165"/>
      <c r="I172" s="164"/>
      <c r="J172" s="165"/>
      <c r="K172" s="165"/>
      <c r="L172" s="165"/>
      <c r="M172" s="165"/>
      <c r="N172" s="177"/>
    </row>
    <row r="173" spans="1:14">
      <c r="A173" s="170"/>
      <c r="B173" s="170"/>
      <c r="C173" s="170"/>
      <c r="D173" s="170"/>
      <c r="E173" s="170"/>
      <c r="F173" s="170"/>
      <c r="G173" s="170"/>
      <c r="H173" s="170"/>
      <c r="I173" s="170"/>
      <c r="J173" s="167"/>
      <c r="K173" s="163"/>
      <c r="L173" s="165"/>
      <c r="M173" s="165"/>
      <c r="N173" s="178"/>
    </row>
    <row r="174" spans="1:14">
      <c r="A174" s="161"/>
      <c r="B174" s="162"/>
      <c r="C174" s="163"/>
      <c r="D174" s="163"/>
      <c r="E174" s="163"/>
      <c r="F174" s="163"/>
      <c r="G174" s="163"/>
      <c r="H174" s="163"/>
      <c r="I174" s="162"/>
      <c r="J174" s="163"/>
      <c r="K174" s="163"/>
      <c r="L174" s="163"/>
      <c r="M174" s="163"/>
      <c r="N174" s="179"/>
    </row>
    <row r="175" spans="1:14">
      <c r="A175" s="161"/>
      <c r="B175" s="161"/>
      <c r="C175" s="161"/>
      <c r="D175" s="161"/>
      <c r="E175" s="161"/>
      <c r="F175" s="161"/>
      <c r="G175" s="161"/>
      <c r="H175" s="161"/>
      <c r="I175" s="161"/>
      <c r="J175" s="163"/>
      <c r="K175" s="165"/>
      <c r="L175" s="163"/>
      <c r="M175" s="163"/>
      <c r="N175" s="178"/>
    </row>
    <row r="176" spans="1:14">
      <c r="A176" s="176"/>
      <c r="B176" s="164"/>
      <c r="C176" s="165"/>
      <c r="D176" s="165"/>
      <c r="E176" s="165"/>
      <c r="F176" s="165"/>
      <c r="G176" s="165"/>
      <c r="H176" s="165"/>
      <c r="I176" s="164"/>
      <c r="J176" s="165"/>
      <c r="K176" s="165"/>
      <c r="L176" s="165"/>
      <c r="M176" s="165"/>
      <c r="N176" s="177"/>
    </row>
    <row r="177" spans="1:14">
      <c r="A177" s="170"/>
      <c r="B177" s="170"/>
      <c r="C177" s="170"/>
      <c r="D177" s="170"/>
      <c r="E177" s="170"/>
      <c r="F177" s="170"/>
      <c r="G177" s="170"/>
      <c r="H177" s="170"/>
      <c r="I177" s="170"/>
      <c r="J177" s="167"/>
      <c r="K177" s="163"/>
      <c r="L177" s="165"/>
      <c r="M177" s="165"/>
      <c r="N177" s="178"/>
    </row>
    <row r="178" spans="1:14">
      <c r="A178" s="161"/>
      <c r="B178" s="162"/>
      <c r="C178" s="163"/>
      <c r="D178" s="163"/>
      <c r="E178" s="163"/>
      <c r="F178" s="168"/>
      <c r="G178" s="168"/>
      <c r="H178" s="163"/>
      <c r="I178" s="162"/>
      <c r="J178" s="168"/>
      <c r="K178" s="163"/>
      <c r="L178" s="163"/>
      <c r="M178" s="163"/>
      <c r="N178" s="179"/>
    </row>
    <row r="179" spans="1:14">
      <c r="A179" s="161"/>
      <c r="B179" s="161"/>
      <c r="C179" s="161"/>
      <c r="D179" s="161"/>
      <c r="E179" s="161"/>
      <c r="F179" s="161"/>
      <c r="G179" s="161"/>
      <c r="H179" s="161"/>
      <c r="I179" s="161"/>
      <c r="J179" s="163"/>
      <c r="K179" s="165"/>
      <c r="L179" s="163"/>
      <c r="M179" s="163"/>
      <c r="N179" s="178"/>
    </row>
    <row r="180" spans="1:14">
      <c r="A180" s="176"/>
      <c r="B180" s="164"/>
      <c r="C180" s="165"/>
      <c r="D180" s="165"/>
      <c r="E180" s="165"/>
      <c r="F180" s="165"/>
      <c r="G180" s="165"/>
      <c r="H180" s="165"/>
      <c r="I180" s="164"/>
      <c r="J180" s="165"/>
      <c r="K180" s="165"/>
      <c r="L180" s="165"/>
      <c r="M180" s="165"/>
      <c r="N180" s="177"/>
    </row>
    <row r="181" spans="1:14">
      <c r="A181" s="170"/>
      <c r="B181" s="170"/>
      <c r="C181" s="170"/>
      <c r="D181" s="170"/>
      <c r="E181" s="170"/>
      <c r="F181" s="170"/>
      <c r="G181" s="170"/>
      <c r="H181" s="170"/>
      <c r="I181" s="170"/>
      <c r="J181" s="167"/>
      <c r="K181" s="163"/>
      <c r="L181" s="165"/>
      <c r="M181" s="165"/>
      <c r="N181" s="178"/>
    </row>
    <row r="182" spans="1:14">
      <c r="A182" s="161"/>
      <c r="B182" s="162"/>
      <c r="C182" s="163"/>
      <c r="D182" s="163"/>
      <c r="E182" s="163"/>
      <c r="F182" s="168"/>
      <c r="G182" s="168"/>
      <c r="H182" s="163"/>
      <c r="I182" s="162"/>
      <c r="J182" s="168"/>
      <c r="K182" s="163"/>
      <c r="L182" s="163"/>
      <c r="M182" s="163"/>
      <c r="N182" s="179"/>
    </row>
    <row r="183" spans="1:14">
      <c r="A183" s="161"/>
      <c r="B183" s="161"/>
      <c r="C183" s="161"/>
      <c r="D183" s="161"/>
      <c r="E183" s="161"/>
      <c r="F183" s="161"/>
      <c r="G183" s="161"/>
      <c r="H183" s="161"/>
      <c r="I183" s="161"/>
      <c r="J183" s="163"/>
      <c r="K183" s="165"/>
      <c r="L183" s="163"/>
      <c r="M183" s="163"/>
      <c r="N183" s="178"/>
    </row>
    <row r="184" spans="1:14">
      <c r="A184" s="176"/>
      <c r="B184" s="164"/>
      <c r="C184" s="165"/>
      <c r="D184" s="165"/>
      <c r="E184" s="165"/>
      <c r="F184" s="165"/>
      <c r="G184" s="165"/>
      <c r="H184" s="165"/>
      <c r="I184" s="164"/>
      <c r="J184" s="165"/>
      <c r="K184" s="165"/>
      <c r="L184" s="165"/>
      <c r="M184" s="165"/>
      <c r="N184" s="177"/>
    </row>
    <row r="185" spans="1:14">
      <c r="A185" s="170"/>
      <c r="B185" s="170"/>
      <c r="C185" s="170"/>
      <c r="D185" s="170"/>
      <c r="E185" s="170"/>
      <c r="F185" s="170"/>
      <c r="G185" s="170"/>
      <c r="H185" s="170"/>
      <c r="I185" s="170"/>
      <c r="J185" s="167"/>
      <c r="K185" s="163"/>
      <c r="L185" s="165"/>
      <c r="M185" s="165"/>
      <c r="N185" s="178"/>
    </row>
    <row r="186" spans="1:14">
      <c r="A186" s="161"/>
      <c r="B186" s="162"/>
      <c r="C186" s="163"/>
      <c r="D186" s="163"/>
      <c r="E186" s="163"/>
      <c r="F186" s="168"/>
      <c r="G186" s="168"/>
      <c r="H186" s="163"/>
      <c r="I186" s="162"/>
      <c r="J186" s="168"/>
      <c r="K186" s="163"/>
      <c r="L186" s="163"/>
      <c r="M186" s="163"/>
      <c r="N186" s="179"/>
    </row>
    <row r="187" spans="1:14">
      <c r="A187" s="161"/>
      <c r="B187" s="161"/>
      <c r="C187" s="161"/>
      <c r="D187" s="161"/>
      <c r="E187" s="161"/>
      <c r="F187" s="161"/>
      <c r="G187" s="161"/>
      <c r="H187" s="161"/>
      <c r="I187" s="161"/>
      <c r="J187" s="163"/>
      <c r="K187" s="165"/>
      <c r="L187" s="163"/>
      <c r="M187" s="163"/>
      <c r="N187" s="178"/>
    </row>
    <row r="188" spans="1:14">
      <c r="A188" s="176"/>
      <c r="B188" s="164"/>
      <c r="C188" s="165"/>
      <c r="D188" s="165"/>
      <c r="E188" s="165"/>
      <c r="F188" s="165"/>
      <c r="G188" s="165"/>
      <c r="H188" s="165"/>
      <c r="I188" s="164"/>
      <c r="J188" s="165"/>
      <c r="K188" s="165"/>
      <c r="L188" s="165"/>
      <c r="M188" s="165"/>
      <c r="N188" s="177"/>
    </row>
    <row r="189" spans="1:14">
      <c r="A189" s="170"/>
      <c r="B189" s="170"/>
      <c r="C189" s="170"/>
      <c r="D189" s="170"/>
      <c r="E189" s="170"/>
      <c r="F189" s="170"/>
      <c r="G189" s="170"/>
      <c r="H189" s="170"/>
      <c r="I189" s="170"/>
      <c r="J189" s="167"/>
      <c r="K189" s="163"/>
      <c r="L189" s="165"/>
      <c r="M189" s="165"/>
      <c r="N189" s="178"/>
    </row>
    <row r="190" spans="1:14">
      <c r="A190" s="161"/>
      <c r="B190" s="162"/>
      <c r="C190" s="163"/>
      <c r="D190" s="163"/>
      <c r="E190" s="163"/>
      <c r="F190" s="163"/>
      <c r="G190" s="163"/>
      <c r="H190" s="163"/>
      <c r="I190" s="162"/>
      <c r="J190" s="163"/>
      <c r="K190" s="163"/>
      <c r="L190" s="163"/>
      <c r="M190" s="163"/>
      <c r="N190" s="179"/>
    </row>
    <row r="191" spans="1:14">
      <c r="A191" s="161"/>
      <c r="B191" s="161"/>
      <c r="C191" s="161"/>
      <c r="D191" s="161"/>
      <c r="E191" s="161"/>
      <c r="F191" s="161"/>
      <c r="G191" s="161"/>
      <c r="H191" s="161"/>
      <c r="I191" s="161"/>
      <c r="J191" s="163"/>
      <c r="K191" s="165"/>
      <c r="L191" s="163"/>
      <c r="M191" s="163"/>
      <c r="N191" s="178"/>
    </row>
    <row r="192" spans="1:14">
      <c r="A192" s="176"/>
      <c r="B192" s="164"/>
      <c r="C192" s="165"/>
      <c r="D192" s="165"/>
      <c r="E192" s="165"/>
      <c r="F192" s="166"/>
      <c r="G192" s="166"/>
      <c r="H192" s="165"/>
      <c r="I192" s="164"/>
      <c r="J192" s="166"/>
      <c r="K192" s="165"/>
      <c r="L192" s="165"/>
      <c r="M192" s="165"/>
      <c r="N192" s="177"/>
    </row>
    <row r="193" spans="1:14">
      <c r="A193" s="170"/>
      <c r="B193" s="170"/>
      <c r="C193" s="170"/>
      <c r="D193" s="170"/>
      <c r="E193" s="170"/>
      <c r="F193" s="170"/>
      <c r="G193" s="170"/>
      <c r="H193" s="170"/>
      <c r="I193" s="170"/>
      <c r="J193" s="167"/>
      <c r="K193" s="163"/>
      <c r="L193" s="165"/>
      <c r="M193" s="165"/>
      <c r="N193" s="178"/>
    </row>
    <row r="194" spans="1:14">
      <c r="A194" s="161"/>
      <c r="B194" s="162"/>
      <c r="C194" s="163"/>
      <c r="D194" s="163"/>
      <c r="E194" s="163"/>
      <c r="F194" s="163"/>
      <c r="G194" s="163"/>
      <c r="H194" s="163"/>
      <c r="I194" s="162"/>
      <c r="J194" s="163"/>
      <c r="K194" s="163"/>
      <c r="L194" s="163"/>
      <c r="M194" s="163"/>
      <c r="N194" s="179"/>
    </row>
    <row r="195" spans="1:14">
      <c r="A195" s="161"/>
      <c r="B195" s="161"/>
      <c r="C195" s="161"/>
      <c r="D195" s="161"/>
      <c r="E195" s="161"/>
      <c r="F195" s="161"/>
      <c r="G195" s="161"/>
      <c r="H195" s="161"/>
      <c r="I195" s="161"/>
      <c r="J195" s="163"/>
      <c r="K195" s="165"/>
      <c r="L195" s="163"/>
      <c r="M195" s="163"/>
      <c r="N195" s="178"/>
    </row>
    <row r="196" spans="1:14">
      <c r="A196" s="176"/>
      <c r="B196" s="164"/>
      <c r="C196" s="165"/>
      <c r="D196" s="165"/>
      <c r="E196" s="165"/>
      <c r="F196" s="165"/>
      <c r="G196" s="165"/>
      <c r="H196" s="165"/>
      <c r="I196" s="164"/>
      <c r="J196" s="165"/>
      <c r="K196" s="165"/>
      <c r="L196" s="165"/>
      <c r="M196" s="165"/>
      <c r="N196" s="177"/>
    </row>
    <row r="197" spans="1:14">
      <c r="A197" s="170"/>
      <c r="B197" s="170"/>
      <c r="C197" s="170"/>
      <c r="D197" s="170"/>
      <c r="E197" s="170"/>
      <c r="F197" s="170"/>
      <c r="G197" s="170"/>
      <c r="H197" s="170"/>
      <c r="I197" s="170"/>
      <c r="J197" s="167"/>
      <c r="K197" s="163"/>
      <c r="L197" s="165"/>
      <c r="M197" s="165"/>
      <c r="N197" s="178"/>
    </row>
    <row r="198" spans="1:14">
      <c r="A198" s="161"/>
      <c r="B198" s="162"/>
      <c r="C198" s="163"/>
      <c r="D198" s="163"/>
      <c r="E198" s="163"/>
      <c r="F198" s="168"/>
      <c r="G198" s="168"/>
      <c r="H198" s="163"/>
      <c r="I198" s="162"/>
      <c r="J198" s="168"/>
      <c r="K198" s="163"/>
      <c r="L198" s="163"/>
      <c r="M198" s="163"/>
      <c r="N198" s="179"/>
    </row>
    <row r="199" spans="1:14">
      <c r="A199" s="161"/>
      <c r="B199" s="161"/>
      <c r="C199" s="161"/>
      <c r="D199" s="161"/>
      <c r="E199" s="161"/>
      <c r="F199" s="161"/>
      <c r="G199" s="161"/>
      <c r="H199" s="161"/>
      <c r="I199" s="161"/>
      <c r="J199" s="163"/>
      <c r="K199" s="165"/>
      <c r="L199" s="163"/>
      <c r="M199" s="163"/>
      <c r="N199" s="178"/>
    </row>
    <row r="200" spans="1:14">
      <c r="A200" s="176"/>
      <c r="B200" s="164"/>
      <c r="C200" s="165"/>
      <c r="D200" s="165"/>
      <c r="E200" s="165"/>
      <c r="F200" s="165"/>
      <c r="G200" s="165"/>
      <c r="H200" s="165"/>
      <c r="I200" s="164"/>
      <c r="J200" s="165"/>
      <c r="K200" s="165"/>
      <c r="L200" s="165"/>
      <c r="M200" s="165"/>
      <c r="N200" s="177"/>
    </row>
    <row r="201" spans="1:14">
      <c r="A201" s="170"/>
      <c r="B201" s="170"/>
      <c r="C201" s="170"/>
      <c r="D201" s="170"/>
      <c r="E201" s="170"/>
      <c r="F201" s="170"/>
      <c r="G201" s="170"/>
      <c r="H201" s="170"/>
      <c r="I201" s="170"/>
      <c r="J201" s="167"/>
      <c r="K201" s="163"/>
      <c r="L201" s="165"/>
      <c r="M201" s="165"/>
      <c r="N201" s="178"/>
    </row>
    <row r="202" spans="1:14">
      <c r="A202" s="161"/>
      <c r="B202" s="162"/>
      <c r="C202" s="163"/>
      <c r="D202" s="163"/>
      <c r="E202" s="163"/>
      <c r="F202" s="168"/>
      <c r="G202" s="168"/>
      <c r="H202" s="163"/>
      <c r="I202" s="162"/>
      <c r="J202" s="168"/>
      <c r="K202" s="163"/>
      <c r="L202" s="163"/>
      <c r="M202" s="163"/>
      <c r="N202" s="179"/>
    </row>
    <row r="203" spans="1:14">
      <c r="A203" s="161"/>
      <c r="B203" s="161"/>
      <c r="C203" s="161"/>
      <c r="D203" s="161"/>
      <c r="E203" s="161"/>
      <c r="F203" s="161"/>
      <c r="G203" s="161"/>
      <c r="H203" s="161"/>
      <c r="I203" s="161"/>
      <c r="J203" s="163"/>
      <c r="K203" s="165"/>
      <c r="L203" s="163"/>
      <c r="M203" s="163"/>
      <c r="N203" s="178"/>
    </row>
    <row r="204" spans="1:14">
      <c r="A204" s="176"/>
      <c r="B204" s="164"/>
      <c r="C204" s="165"/>
      <c r="D204" s="165"/>
      <c r="E204" s="165"/>
      <c r="F204" s="165"/>
      <c r="G204" s="165"/>
      <c r="H204" s="165"/>
      <c r="I204" s="164"/>
      <c r="J204" s="165"/>
      <c r="K204" s="165"/>
      <c r="L204" s="165"/>
      <c r="M204" s="165"/>
      <c r="N204" s="177"/>
    </row>
    <row r="205" spans="1:14">
      <c r="A205" s="170"/>
      <c r="B205" s="170"/>
      <c r="C205" s="170"/>
      <c r="D205" s="170"/>
      <c r="E205" s="170"/>
      <c r="F205" s="170"/>
      <c r="G205" s="170"/>
      <c r="H205" s="170"/>
      <c r="I205" s="170"/>
      <c r="J205" s="167"/>
      <c r="K205" s="163"/>
      <c r="L205" s="165"/>
      <c r="M205" s="165"/>
      <c r="N205" s="178"/>
    </row>
    <row r="206" spans="1:14">
      <c r="A206" s="161"/>
      <c r="B206" s="162"/>
      <c r="C206" s="163"/>
      <c r="D206" s="163"/>
      <c r="E206" s="163"/>
      <c r="F206" s="163"/>
      <c r="G206" s="163"/>
      <c r="H206" s="163"/>
      <c r="I206" s="162"/>
      <c r="J206" s="163"/>
      <c r="K206" s="163"/>
      <c r="L206" s="163"/>
      <c r="M206" s="163"/>
      <c r="N206" s="179"/>
    </row>
    <row r="207" spans="1:14">
      <c r="A207" s="161"/>
      <c r="B207" s="161"/>
      <c r="C207" s="161"/>
      <c r="D207" s="161"/>
      <c r="E207" s="161"/>
      <c r="F207" s="161"/>
      <c r="G207" s="161"/>
      <c r="H207" s="161"/>
      <c r="I207" s="161"/>
      <c r="J207" s="163"/>
      <c r="K207" s="165"/>
      <c r="L207" s="163"/>
      <c r="M207" s="163"/>
      <c r="N207" s="178"/>
    </row>
    <row r="208" spans="1:14">
      <c r="A208" s="176"/>
      <c r="B208" s="164"/>
      <c r="C208" s="165"/>
      <c r="D208" s="165"/>
      <c r="E208" s="165"/>
      <c r="F208" s="166"/>
      <c r="G208" s="166"/>
      <c r="H208" s="165"/>
      <c r="I208" s="164"/>
      <c r="J208" s="166"/>
      <c r="K208" s="165"/>
      <c r="L208" s="165"/>
      <c r="M208" s="165"/>
      <c r="N208" s="177"/>
    </row>
    <row r="209" spans="1:14">
      <c r="A209" s="170"/>
      <c r="B209" s="170"/>
      <c r="C209" s="170"/>
      <c r="D209" s="170"/>
      <c r="E209" s="170"/>
      <c r="F209" s="170"/>
      <c r="G209" s="170"/>
      <c r="H209" s="170"/>
      <c r="I209" s="170"/>
      <c r="J209" s="167"/>
      <c r="K209" s="163"/>
      <c r="L209" s="165"/>
      <c r="M209" s="165"/>
      <c r="N209" s="178"/>
    </row>
    <row r="210" spans="1:14">
      <c r="A210" s="161"/>
      <c r="B210" s="162"/>
      <c r="C210" s="163"/>
      <c r="D210" s="163"/>
      <c r="E210" s="163"/>
      <c r="F210" s="168"/>
      <c r="G210" s="168"/>
      <c r="H210" s="163"/>
      <c r="I210" s="162"/>
      <c r="J210" s="168"/>
      <c r="K210" s="163"/>
      <c r="L210" s="163"/>
      <c r="M210" s="163"/>
      <c r="N210" s="179"/>
    </row>
    <row r="211" spans="1:14">
      <c r="A211" s="161"/>
      <c r="B211" s="161"/>
      <c r="C211" s="161"/>
      <c r="D211" s="161"/>
      <c r="E211" s="161"/>
      <c r="F211" s="161"/>
      <c r="G211" s="161"/>
      <c r="H211" s="161"/>
      <c r="I211" s="161"/>
      <c r="J211" s="163"/>
      <c r="K211" s="165"/>
      <c r="L211" s="163"/>
      <c r="M211" s="163"/>
      <c r="N211" s="178"/>
    </row>
    <row r="212" spans="1:14">
      <c r="A212" s="176"/>
      <c r="B212" s="164"/>
      <c r="C212" s="165"/>
      <c r="D212" s="165"/>
      <c r="E212" s="165"/>
      <c r="F212" s="166"/>
      <c r="G212" s="166"/>
      <c r="H212" s="165"/>
      <c r="I212" s="164"/>
      <c r="J212" s="166"/>
      <c r="K212" s="165"/>
      <c r="L212" s="165"/>
      <c r="M212" s="165"/>
      <c r="N212" s="177"/>
    </row>
    <row r="213" spans="1:14">
      <c r="A213" s="170"/>
      <c r="B213" s="170"/>
      <c r="C213" s="170"/>
      <c r="D213" s="170"/>
      <c r="E213" s="170"/>
      <c r="F213" s="170"/>
      <c r="G213" s="170"/>
      <c r="H213" s="170"/>
      <c r="I213" s="170"/>
      <c r="J213" s="167"/>
      <c r="K213" s="163"/>
      <c r="L213" s="165"/>
      <c r="M213" s="165"/>
      <c r="N213" s="178"/>
    </row>
    <row r="214" spans="1:14">
      <c r="A214" s="161"/>
      <c r="B214" s="162"/>
      <c r="C214" s="163"/>
      <c r="D214" s="163"/>
      <c r="E214" s="163"/>
      <c r="F214" s="168"/>
      <c r="G214" s="168"/>
      <c r="H214" s="163"/>
      <c r="I214" s="162"/>
      <c r="J214" s="168"/>
      <c r="K214" s="163"/>
      <c r="L214" s="163"/>
      <c r="M214" s="163"/>
      <c r="N214" s="179"/>
    </row>
    <row r="215" spans="1:14">
      <c r="A215" s="161"/>
      <c r="B215" s="161"/>
      <c r="C215" s="161"/>
      <c r="D215" s="161"/>
      <c r="E215" s="161"/>
      <c r="F215" s="161"/>
      <c r="G215" s="161"/>
      <c r="H215" s="161"/>
      <c r="I215" s="161"/>
      <c r="J215" s="163"/>
      <c r="K215" s="165"/>
      <c r="L215" s="163"/>
      <c r="M215" s="163"/>
      <c r="N215" s="178"/>
    </row>
    <row r="216" spans="1:14">
      <c r="A216" s="176"/>
      <c r="B216" s="164"/>
      <c r="C216" s="165"/>
      <c r="D216" s="165"/>
      <c r="E216" s="165"/>
      <c r="F216" s="165"/>
      <c r="G216" s="165"/>
      <c r="H216" s="165"/>
      <c r="I216" s="164"/>
      <c r="J216" s="165"/>
      <c r="K216" s="165"/>
      <c r="L216" s="165"/>
      <c r="M216" s="165"/>
      <c r="N216" s="177"/>
    </row>
    <row r="217" spans="1:14">
      <c r="A217" s="170"/>
      <c r="B217" s="170"/>
      <c r="C217" s="170"/>
      <c r="D217" s="170"/>
      <c r="E217" s="170"/>
      <c r="F217" s="170"/>
      <c r="G217" s="170"/>
      <c r="H217" s="170"/>
      <c r="I217" s="170"/>
      <c r="J217" s="167"/>
      <c r="K217" s="163"/>
      <c r="L217" s="165"/>
      <c r="M217" s="165"/>
      <c r="N217" s="178"/>
    </row>
    <row r="218" spans="1:14">
      <c r="A218" s="161"/>
      <c r="B218" s="162"/>
      <c r="C218" s="163"/>
      <c r="D218" s="163"/>
      <c r="E218" s="163"/>
      <c r="F218" s="168"/>
      <c r="G218" s="168"/>
      <c r="H218" s="163"/>
      <c r="I218" s="162"/>
      <c r="J218" s="168"/>
      <c r="K218" s="163"/>
      <c r="L218" s="163"/>
      <c r="M218" s="163"/>
      <c r="N218" s="179"/>
    </row>
    <row r="219" spans="1:14">
      <c r="A219" s="161"/>
      <c r="B219" s="161"/>
      <c r="C219" s="161"/>
      <c r="D219" s="161"/>
      <c r="E219" s="161"/>
      <c r="F219" s="161"/>
      <c r="G219" s="161"/>
      <c r="H219" s="161"/>
      <c r="I219" s="161"/>
      <c r="J219" s="163"/>
      <c r="K219" s="165"/>
      <c r="L219" s="163"/>
      <c r="M219" s="163"/>
      <c r="N219" s="178"/>
    </row>
    <row r="220" spans="1:14">
      <c r="A220" s="176"/>
      <c r="B220" s="164"/>
      <c r="C220" s="165"/>
      <c r="D220" s="165"/>
      <c r="E220" s="165"/>
      <c r="F220" s="165"/>
      <c r="G220" s="165"/>
      <c r="H220" s="165"/>
      <c r="I220" s="164"/>
      <c r="J220" s="165"/>
      <c r="K220" s="165"/>
      <c r="L220" s="165"/>
      <c r="M220" s="165"/>
      <c r="N220" s="177"/>
    </row>
    <row r="221" spans="1:14">
      <c r="A221" s="170"/>
      <c r="B221" s="170"/>
      <c r="C221" s="170"/>
      <c r="D221" s="170"/>
      <c r="E221" s="170"/>
      <c r="F221" s="170"/>
      <c r="G221" s="170"/>
      <c r="H221" s="170"/>
      <c r="I221" s="170"/>
      <c r="J221" s="167"/>
      <c r="K221" s="163"/>
      <c r="L221" s="165"/>
      <c r="M221" s="165"/>
      <c r="N221" s="178"/>
    </row>
    <row r="222" spans="1:14">
      <c r="A222" s="161"/>
      <c r="B222" s="162"/>
      <c r="C222" s="163"/>
      <c r="D222" s="163"/>
      <c r="E222" s="163"/>
      <c r="F222" s="168"/>
      <c r="G222" s="168"/>
      <c r="H222" s="163"/>
      <c r="I222" s="162"/>
      <c r="J222" s="168"/>
      <c r="K222" s="163"/>
      <c r="L222" s="163"/>
      <c r="M222" s="163"/>
      <c r="N222" s="179"/>
    </row>
    <row r="223" spans="1:14">
      <c r="A223" s="161"/>
      <c r="B223" s="161"/>
      <c r="C223" s="161"/>
      <c r="D223" s="161"/>
      <c r="E223" s="161"/>
      <c r="F223" s="161"/>
      <c r="G223" s="161"/>
      <c r="H223" s="161"/>
      <c r="I223" s="161"/>
      <c r="J223" s="163"/>
      <c r="K223" s="165"/>
      <c r="L223" s="163"/>
      <c r="M223" s="163"/>
      <c r="N223" s="178"/>
    </row>
    <row r="224" spans="1:14">
      <c r="A224" s="176"/>
      <c r="B224" s="164"/>
      <c r="C224" s="165"/>
      <c r="D224" s="165"/>
      <c r="E224" s="165"/>
      <c r="F224" s="166"/>
      <c r="G224" s="166"/>
      <c r="H224" s="165"/>
      <c r="I224" s="164"/>
      <c r="J224" s="166"/>
      <c r="K224" s="165"/>
      <c r="L224" s="165"/>
      <c r="M224" s="165"/>
      <c r="N224" s="177"/>
    </row>
    <row r="225" spans="1:14">
      <c r="A225" s="170"/>
      <c r="B225" s="170"/>
      <c r="C225" s="170"/>
      <c r="D225" s="170"/>
      <c r="E225" s="170"/>
      <c r="F225" s="170"/>
      <c r="G225" s="170"/>
      <c r="H225" s="170"/>
      <c r="I225" s="170"/>
      <c r="J225" s="167"/>
      <c r="K225" s="163"/>
      <c r="L225" s="165"/>
      <c r="M225" s="165"/>
      <c r="N225" s="178"/>
    </row>
    <row r="226" spans="1:14">
      <c r="A226" s="161"/>
      <c r="B226" s="162"/>
      <c r="C226" s="163"/>
      <c r="D226" s="163"/>
      <c r="E226" s="163"/>
      <c r="F226" s="168"/>
      <c r="G226" s="168"/>
      <c r="H226" s="163"/>
      <c r="I226" s="162"/>
      <c r="J226" s="168"/>
      <c r="K226" s="163"/>
      <c r="L226" s="163"/>
      <c r="M226" s="163"/>
      <c r="N226" s="179"/>
    </row>
    <row r="227" spans="1:14">
      <c r="A227" s="161"/>
      <c r="B227" s="161"/>
      <c r="C227" s="161"/>
      <c r="D227" s="161"/>
      <c r="E227" s="161"/>
      <c r="F227" s="161"/>
      <c r="G227" s="161"/>
      <c r="H227" s="161"/>
      <c r="I227" s="161"/>
      <c r="J227" s="163"/>
      <c r="K227" s="165"/>
      <c r="L227" s="163"/>
      <c r="M227" s="163"/>
      <c r="N227" s="178"/>
    </row>
    <row r="228" spans="1:14">
      <c r="A228" s="176"/>
      <c r="B228" s="164"/>
      <c r="C228" s="165"/>
      <c r="D228" s="165"/>
      <c r="E228" s="165"/>
      <c r="F228" s="166"/>
      <c r="G228" s="166"/>
      <c r="H228" s="165"/>
      <c r="I228" s="164"/>
      <c r="J228" s="166"/>
      <c r="K228" s="165"/>
      <c r="L228" s="165"/>
      <c r="M228" s="165"/>
      <c r="N228" s="177"/>
    </row>
    <row r="229" spans="1:14">
      <c r="A229" s="170"/>
      <c r="B229" s="170"/>
      <c r="C229" s="170"/>
      <c r="D229" s="170"/>
      <c r="E229" s="170"/>
      <c r="F229" s="170"/>
      <c r="G229" s="170"/>
      <c r="H229" s="170"/>
      <c r="I229" s="170"/>
      <c r="J229" s="167"/>
      <c r="K229" s="163"/>
      <c r="L229" s="165"/>
      <c r="M229" s="165"/>
      <c r="N229" s="178"/>
    </row>
    <row r="230" spans="1:14">
      <c r="A230" s="161"/>
      <c r="B230" s="162"/>
      <c r="C230" s="163"/>
      <c r="D230" s="163"/>
      <c r="E230" s="163"/>
      <c r="F230" s="168"/>
      <c r="G230" s="168"/>
      <c r="H230" s="163"/>
      <c r="I230" s="162"/>
      <c r="J230" s="168"/>
      <c r="K230" s="163"/>
      <c r="L230" s="163"/>
      <c r="M230" s="163"/>
      <c r="N230" s="179"/>
    </row>
    <row r="231" spans="1:14">
      <c r="A231" s="161"/>
      <c r="B231" s="161"/>
      <c r="C231" s="161"/>
      <c r="D231" s="161"/>
      <c r="E231" s="161"/>
      <c r="F231" s="161"/>
      <c r="G231" s="161"/>
      <c r="H231" s="161"/>
      <c r="I231" s="161"/>
      <c r="J231" s="163"/>
      <c r="K231" s="165"/>
      <c r="L231" s="163"/>
      <c r="M231" s="163"/>
      <c r="N231" s="178"/>
    </row>
    <row r="232" spans="1:14">
      <c r="A232" s="176"/>
      <c r="B232" s="164"/>
      <c r="C232" s="165"/>
      <c r="D232" s="165"/>
      <c r="E232" s="165"/>
      <c r="F232" s="166"/>
      <c r="G232" s="166"/>
      <c r="H232" s="165"/>
      <c r="I232" s="164"/>
      <c r="J232" s="166"/>
      <c r="K232" s="165"/>
      <c r="L232" s="165"/>
      <c r="M232" s="165"/>
      <c r="N232" s="177"/>
    </row>
    <row r="233" spans="1:14">
      <c r="A233" s="170"/>
      <c r="B233" s="170"/>
      <c r="C233" s="170"/>
      <c r="D233" s="170"/>
      <c r="E233" s="170"/>
      <c r="F233" s="170"/>
      <c r="G233" s="170"/>
      <c r="H233" s="170"/>
      <c r="I233" s="170"/>
      <c r="J233" s="167"/>
      <c r="K233" s="163"/>
      <c r="L233" s="165"/>
      <c r="M233" s="165"/>
      <c r="N233" s="178"/>
    </row>
    <row r="234" spans="1:14">
      <c r="A234" s="161"/>
      <c r="B234" s="162"/>
      <c r="C234" s="163"/>
      <c r="D234" s="163"/>
      <c r="E234" s="163"/>
      <c r="F234" s="168"/>
      <c r="G234" s="168"/>
      <c r="H234" s="163"/>
      <c r="I234" s="162"/>
      <c r="J234" s="168"/>
      <c r="K234" s="180"/>
      <c r="L234" s="163"/>
      <c r="M234" s="163"/>
      <c r="N234" s="179"/>
    </row>
    <row r="235" spans="1:14">
      <c r="A235" s="161"/>
      <c r="B235" s="161"/>
      <c r="C235" s="161"/>
      <c r="D235" s="161"/>
      <c r="E235" s="161"/>
      <c r="F235" s="161"/>
      <c r="G235" s="161"/>
      <c r="H235" s="161"/>
      <c r="I235" s="161"/>
      <c r="J235" s="163"/>
      <c r="K235" s="171"/>
      <c r="L235" s="180"/>
      <c r="M235" s="180"/>
      <c r="N235" s="178"/>
    </row>
    <row r="236" spans="1:14">
      <c r="A236" s="176"/>
      <c r="B236" s="164"/>
      <c r="C236" s="165"/>
      <c r="D236" s="165"/>
      <c r="E236" s="165"/>
      <c r="F236" s="166"/>
      <c r="G236" s="166"/>
      <c r="H236" s="165"/>
      <c r="I236" s="164"/>
      <c r="J236" s="166"/>
      <c r="L236" s="171"/>
      <c r="M236" s="171"/>
      <c r="N236" s="177"/>
    </row>
    <row r="237" spans="1:14">
      <c r="A237" s="170"/>
      <c r="B237" s="170"/>
      <c r="C237" s="170"/>
      <c r="D237" s="170"/>
      <c r="E237" s="170"/>
      <c r="F237" s="170"/>
      <c r="G237" s="170"/>
      <c r="H237" s="170"/>
      <c r="I237" s="170"/>
      <c r="J237" s="167"/>
      <c r="N237" s="178"/>
    </row>
    <row r="238" spans="1:14">
      <c r="A238" s="161"/>
      <c r="B238" s="162"/>
      <c r="C238" s="163"/>
      <c r="D238" s="163"/>
      <c r="E238" s="163"/>
      <c r="F238" s="163"/>
      <c r="G238" s="163"/>
      <c r="H238" s="163"/>
      <c r="I238" s="162"/>
      <c r="J238" s="163"/>
      <c r="N238" s="179"/>
    </row>
    <row r="239" spans="1:14">
      <c r="A239" s="161"/>
      <c r="B239" s="161"/>
      <c r="C239" s="161"/>
      <c r="D239" s="161"/>
      <c r="E239" s="161"/>
      <c r="F239" s="161"/>
      <c r="G239" s="161"/>
      <c r="H239" s="161"/>
      <c r="I239" s="161"/>
      <c r="J239" s="163"/>
      <c r="N239" s="178"/>
    </row>
    <row r="240" spans="1:14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N240" s="169"/>
    </row>
  </sheetData>
  <mergeCells count="1">
    <mergeCell ref="A240:J240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selection activeCell="G16" sqref="G16"/>
    </sheetView>
  </sheetViews>
  <sheetFormatPr defaultRowHeight="12"/>
  <cols>
    <col min="1" max="1" width="10.5703125" style="193" bestFit="1" customWidth="1"/>
    <col min="2" max="2" width="8.42578125" style="193" bestFit="1" customWidth="1"/>
    <col min="3" max="3" width="9.7109375" style="193" customWidth="1"/>
    <col min="4" max="5" width="11" style="193" customWidth="1"/>
    <col min="6" max="6" width="11.5703125" style="193" customWidth="1"/>
    <col min="7" max="7" width="13.42578125" style="193" customWidth="1"/>
    <col min="8" max="8" width="13.7109375" style="193" customWidth="1"/>
    <col min="9" max="9" width="12.7109375" style="193" customWidth="1"/>
    <col min="10" max="10" width="11.28515625" style="194" bestFit="1" customWidth="1"/>
    <col min="11" max="11" width="6.7109375" style="195" bestFit="1" customWidth="1"/>
    <col min="12" max="12" width="11" style="196" bestFit="1" customWidth="1"/>
    <col min="13" max="13" width="2.85546875" style="193" customWidth="1"/>
    <col min="14" max="14" width="11.28515625" style="196" bestFit="1" customWidth="1"/>
    <col min="15" max="16384" width="9.140625" style="193"/>
  </cols>
  <sheetData>
    <row r="1" spans="1:16">
      <c r="A1" s="192" t="s">
        <v>204</v>
      </c>
      <c r="B1" s="193" t="s">
        <v>339</v>
      </c>
    </row>
    <row r="3" spans="1:16" ht="12.75">
      <c r="B3" s="192" t="s">
        <v>209</v>
      </c>
      <c r="H3"/>
      <c r="J3" s="194">
        <v>39770.28</v>
      </c>
      <c r="N3" s="194">
        <v>100</v>
      </c>
      <c r="O3" s="195"/>
      <c r="P3" s="196"/>
    </row>
    <row r="4" spans="1:16" ht="12.75">
      <c r="A4" s="192" t="s">
        <v>217</v>
      </c>
      <c r="B4" s="193" t="s">
        <v>214</v>
      </c>
      <c r="C4" s="193" t="s">
        <v>342</v>
      </c>
      <c r="D4" s="193" t="s">
        <v>215</v>
      </c>
      <c r="E4" s="193" t="s">
        <v>343</v>
      </c>
      <c r="F4" s="193" t="s">
        <v>344</v>
      </c>
      <c r="G4" s="193" t="s">
        <v>345</v>
      </c>
      <c r="H4"/>
      <c r="J4" s="194">
        <v>3258.46</v>
      </c>
      <c r="K4" s="195">
        <f>J4/$J$3</f>
        <v>8.1932035680915505E-2</v>
      </c>
      <c r="L4" s="196">
        <f>J4*40%</f>
        <v>1303.384</v>
      </c>
      <c r="N4" s="194">
        <f>$N$3*K4</f>
        <v>8.1932035680915511</v>
      </c>
      <c r="O4" s="196">
        <f>N4*40%</f>
        <v>3.2772814272366206</v>
      </c>
    </row>
    <row r="5" spans="1:16" ht="12.75">
      <c r="A5" s="197" t="s">
        <v>197</v>
      </c>
      <c r="B5" s="198">
        <v>2</v>
      </c>
      <c r="C5" s="196">
        <v>-833.26</v>
      </c>
      <c r="D5" s="196">
        <v>-4360.1899999999996</v>
      </c>
      <c r="E5" s="196">
        <v>-5193.45</v>
      </c>
      <c r="F5" s="196">
        <v>-2596.7249999999999</v>
      </c>
      <c r="G5" s="196">
        <v>1824.8375412759351</v>
      </c>
      <c r="H5"/>
      <c r="J5" s="194">
        <v>2478.84</v>
      </c>
      <c r="K5" s="195">
        <f>J5/$J$3</f>
        <v>6.2328955189654187E-2</v>
      </c>
      <c r="L5" s="196">
        <f>J5*40%</f>
        <v>991.53600000000006</v>
      </c>
      <c r="N5" s="194">
        <f>$N$3*K5</f>
        <v>6.2328955189654183</v>
      </c>
      <c r="O5" s="196">
        <f>N5*40%</f>
        <v>2.4931582075861676</v>
      </c>
    </row>
    <row r="6" spans="1:16" ht="12.75">
      <c r="A6" s="197" t="s">
        <v>194</v>
      </c>
      <c r="B6" s="198">
        <v>1</v>
      </c>
      <c r="C6" s="196">
        <v>0</v>
      </c>
      <c r="D6" s="196">
        <v>-1331.82</v>
      </c>
      <c r="E6" s="196">
        <v>-1331.82</v>
      </c>
      <c r="F6" s="196">
        <v>-1331.82</v>
      </c>
      <c r="G6" s="196" t="e">
        <v>#DIV/0!</v>
      </c>
      <c r="H6"/>
      <c r="J6" s="194">
        <v>-7213.58</v>
      </c>
      <c r="K6" s="195">
        <f>J6/$J$3</f>
        <v>-0.18138117207120494</v>
      </c>
      <c r="L6" s="196">
        <f>J6*40%</f>
        <v>-2885.4320000000002</v>
      </c>
      <c r="N6" s="194">
        <f>$N$3*K6</f>
        <v>-18.138117207120494</v>
      </c>
      <c r="O6" s="196">
        <f>N6*40%</f>
        <v>-7.2552468828481977</v>
      </c>
    </row>
    <row r="7" spans="1:16" ht="12.75">
      <c r="A7" s="197" t="s">
        <v>195</v>
      </c>
      <c r="B7" s="198">
        <v>1</v>
      </c>
      <c r="C7" s="196">
        <v>-13.43</v>
      </c>
      <c r="D7" s="196">
        <v>-674.88</v>
      </c>
      <c r="E7" s="196">
        <v>-688.31</v>
      </c>
      <c r="F7" s="196">
        <v>-688.31</v>
      </c>
      <c r="G7" s="196" t="e">
        <v>#DIV/0!</v>
      </c>
      <c r="H7"/>
      <c r="J7" s="194">
        <f>J4+J5+J6</f>
        <v>-1476.2799999999997</v>
      </c>
      <c r="K7" s="195">
        <f>J7/$J$3</f>
        <v>-3.712018120063524E-2</v>
      </c>
      <c r="N7" s="194">
        <f>$N$3*K7</f>
        <v>-3.7120181200635241</v>
      </c>
      <c r="O7" s="194">
        <f>O4+O5+O6</f>
        <v>-1.48480724802541</v>
      </c>
      <c r="P7" s="196"/>
    </row>
    <row r="8" spans="1:16" ht="12.75">
      <c r="A8" s="197" t="s">
        <v>208</v>
      </c>
      <c r="B8" s="198">
        <v>4</v>
      </c>
      <c r="C8" s="196">
        <v>-846.68999999999994</v>
      </c>
      <c r="D8" s="196">
        <v>-6366.8899999999994</v>
      </c>
      <c r="E8" s="196">
        <v>-7213.58</v>
      </c>
      <c r="F8" s="196">
        <v>-1803.395</v>
      </c>
      <c r="G8" s="196">
        <v>1420.6306777507896</v>
      </c>
      <c r="H8"/>
      <c r="J8" s="194">
        <f>J3+J7</f>
        <v>38294</v>
      </c>
      <c r="N8" s="194">
        <f>N3+N7</f>
        <v>96.287981879936481</v>
      </c>
    </row>
    <row r="9" spans="1:16" ht="12.75">
      <c r="A9"/>
      <c r="B9"/>
      <c r="C9"/>
      <c r="D9"/>
      <c r="E9"/>
      <c r="F9"/>
      <c r="G9"/>
      <c r="H9"/>
    </row>
    <row r="10" spans="1:16" ht="12.75">
      <c r="A10"/>
      <c r="B10"/>
      <c r="C10"/>
      <c r="D10"/>
      <c r="E10"/>
      <c r="F10"/>
      <c r="G10"/>
      <c r="H10"/>
    </row>
    <row r="11" spans="1:16" ht="12.75">
      <c r="A11"/>
      <c r="B11"/>
      <c r="C11"/>
      <c r="D11"/>
      <c r="E11"/>
      <c r="F11"/>
      <c r="G11"/>
      <c r="H11"/>
    </row>
    <row r="12" spans="1:16">
      <c r="A12"/>
      <c r="B12"/>
      <c r="C12"/>
      <c r="D12"/>
      <c r="E12"/>
      <c r="F12"/>
      <c r="G12"/>
    </row>
    <row r="13" spans="1:16">
      <c r="A13"/>
      <c r="B13"/>
      <c r="C13"/>
      <c r="D13"/>
      <c r="E13"/>
      <c r="F13"/>
      <c r="G1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A60" sqref="A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4" sqref="D4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3</v>
      </c>
      <c r="N1" s="27">
        <f>0.7%*M1</f>
        <v>2.0999999999999998E-2</v>
      </c>
    </row>
    <row r="2" spans="1:15">
      <c r="A2" s="7" t="s">
        <v>140</v>
      </c>
      <c r="B2" s="25">
        <f>1000</f>
        <v>1000</v>
      </c>
      <c r="C2" s="25">
        <v>18.55</v>
      </c>
      <c r="D2" s="25">
        <v>0.24</v>
      </c>
      <c r="E2" s="39">
        <v>18.010000000000002</v>
      </c>
      <c r="F2" s="28">
        <f>ROUNDDOWN([APLICAÇÃO]/[PREÇO OPÇÃO], 0)</f>
        <v>4166</v>
      </c>
      <c r="G2" s="28">
        <f>[QTDE TMP] - MOD([QTDE TMP], 100)</f>
        <v>4100</v>
      </c>
      <c r="H2" s="25">
        <f>[EXERCÍCIO] + ([PREÇO OPÇÃO] * 2)</f>
        <v>19.03</v>
      </c>
      <c r="I2" s="27">
        <f>[TARGET 100%] / [PREÇO AÇÃO] - 1</f>
        <v>5.6635202665185957E-2</v>
      </c>
      <c r="J2" s="25">
        <f>[PREÇO OPÇÃO] * [QTDE]</f>
        <v>984</v>
      </c>
      <c r="K2" s="25">
        <f>IF([PREÇO AÇÃO] &gt; [EXERCÍCIO], [PREÇO OPÇÃO] -([PREÇO AÇÃO] - [EXERCÍCIO]), [PREÇO OPÇÃO])</f>
        <v>0.24</v>
      </c>
    </row>
    <row r="3" spans="1:15">
      <c r="A3" s="7" t="s">
        <v>179</v>
      </c>
      <c r="B3" s="25">
        <f>1000</f>
        <v>1000</v>
      </c>
      <c r="C3" s="25">
        <v>17.16</v>
      </c>
      <c r="D3" s="25">
        <v>1.4</v>
      </c>
      <c r="E3" s="39">
        <v>18.010000000000002</v>
      </c>
      <c r="F3" s="28">
        <f>ROUNDDOWN([APLICAÇÃO]/[PREÇO OPÇÃO], 0)</f>
        <v>714</v>
      </c>
      <c r="G3" s="28">
        <f>[QTDE TMP] - MOD([QTDE TMP], 100)</f>
        <v>700</v>
      </c>
      <c r="H3" s="25">
        <f>[EXERCÍCIO] + ([PREÇO OPÇÃO] * 2)</f>
        <v>19.96</v>
      </c>
      <c r="I3" s="27">
        <f>[TARGET 100%] / [PREÇO AÇÃO] - 1</f>
        <v>0.10827318156579668</v>
      </c>
      <c r="J3" s="25">
        <f>[PREÇO OPÇÃO] * [QTDE]</f>
        <v>979.99999999999989</v>
      </c>
      <c r="K3" s="25">
        <f>IF([PREÇO AÇÃO] &gt; [EXERCÍCIO], [PREÇO OPÇÃO] -([PREÇO AÇÃO] - [EXERCÍCIO]), [PREÇO OPÇÃO])</f>
        <v>0.54999999999999849</v>
      </c>
    </row>
    <row r="4" spans="1:15">
      <c r="A4" s="7" t="s">
        <v>179</v>
      </c>
      <c r="B4" s="146">
        <f>1000</f>
        <v>1000</v>
      </c>
      <c r="C4" s="25">
        <v>27.17</v>
      </c>
      <c r="D4" s="25">
        <v>0.6</v>
      </c>
      <c r="E4" s="39">
        <v>27.09</v>
      </c>
      <c r="F4" s="147">
        <f>ROUNDDOWN([APLICAÇÃO]/[PREÇO OPÇÃO], 0)</f>
        <v>1666</v>
      </c>
      <c r="G4" s="147">
        <f>[QTDE TMP] - MOD([QTDE TMP], 100)</f>
        <v>1600</v>
      </c>
      <c r="H4" s="146">
        <f>[EXERCÍCIO] + ([PREÇO OPÇÃO] * 2)</f>
        <v>28.37</v>
      </c>
      <c r="I4" s="148">
        <f>[TARGET 100%] / [PREÇO AÇÃO] - 1</f>
        <v>4.7249907715024131E-2</v>
      </c>
      <c r="J4" s="149">
        <f>[PREÇO OPÇÃO] * [QTDE]</f>
        <v>960</v>
      </c>
      <c r="K4" s="149">
        <f>IF([PREÇO AÇÃO] &gt; [EXERCÍCIO], [PREÇO OPÇÃO] -([PREÇO AÇÃO] - [EXERCÍCIO]), [PREÇO OPÇÃO])</f>
        <v>0.6</v>
      </c>
      <c r="M4" s="7">
        <v>33.15</v>
      </c>
      <c r="N4" s="152">
        <f>M4*N7/M7</f>
        <v>4.9732104586369479</v>
      </c>
      <c r="O4" s="153">
        <f>N4/5*M1</f>
        <v>2.9839262751821689</v>
      </c>
    </row>
    <row r="5" spans="1:15">
      <c r="A5" s="145" t="s">
        <v>179</v>
      </c>
      <c r="B5" s="146">
        <f>1000</f>
        <v>1000</v>
      </c>
      <c r="C5" s="146">
        <v>28.17</v>
      </c>
      <c r="D5" s="146">
        <v>0.16</v>
      </c>
      <c r="E5" s="39">
        <v>28.17</v>
      </c>
      <c r="F5" s="147">
        <f>ROUNDDOWN([APLICAÇÃO]/[PREÇO OPÇÃO], 0)</f>
        <v>6250</v>
      </c>
      <c r="G5" s="147">
        <f>[QTDE TMP] - MOD([QTDE TMP], 100)</f>
        <v>6200</v>
      </c>
      <c r="H5" s="146">
        <f>[EXERCÍCIO] + ([PREÇO OPÇÃO] * 2)</f>
        <v>28.490000000000002</v>
      </c>
      <c r="I5" s="148">
        <f>[TARGET 100%] / [PREÇO AÇÃO] - 1</f>
        <v>1.1359602413915537E-2</v>
      </c>
      <c r="J5" s="149">
        <f>[PREÇO OPÇÃO] * [QTDE]</f>
        <v>992</v>
      </c>
      <c r="K5" s="149">
        <f>IF([PREÇO AÇÃO] &gt; [EXERCÍCIO], [PREÇO OPÇÃO] -([PREÇO AÇÃO] - [EXERCÍCIO]), [PREÇO OPÇÃO])</f>
        <v>0.16</v>
      </c>
      <c r="M5" s="7">
        <v>23.84</v>
      </c>
      <c r="N5" s="152">
        <f>M5*N7/M7</f>
        <v>3.5765109301328764</v>
      </c>
      <c r="O5" s="153">
        <f>N5/5*M1</f>
        <v>2.1459065580797256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13" sqref="E13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1200</v>
      </c>
      <c r="C3" s="25">
        <v>26.64</v>
      </c>
      <c r="D3" s="25">
        <v>25.17</v>
      </c>
      <c r="E3" s="25">
        <v>1.62</v>
      </c>
      <c r="F3" s="25">
        <v>27.17</v>
      </c>
      <c r="G3" s="25">
        <v>0.59</v>
      </c>
      <c r="H3" s="25">
        <f>([QTDE] * [PREÇO COMPRA]) + ([QTDE] * [PREÇO VENDA])</f>
        <v>2652</v>
      </c>
      <c r="I3" s="25">
        <f>[PREÇO VENDA]-[PREÇO COMPRA]</f>
        <v>1.0300000000000002</v>
      </c>
      <c r="J3" s="25">
        <f>(0.01 - [PREÇO COMPRA]) + ([PREÇO VENDA] - ([EXERC. COMPRA]-[EXERC. VENDA]+0.01))</f>
        <v>-0.96999999999999964</v>
      </c>
      <c r="K3" s="28">
        <f>ROUNDDOWN([RISCO]/ABS([PERDA P/ OPÇÃO]), 0)</f>
        <v>1237</v>
      </c>
      <c r="L3" s="28">
        <f>[QTDE TMP] - MOD([QTDE TMP], 100)</f>
        <v>1200</v>
      </c>
      <c r="M3" s="25">
        <f>([QTDE]*[LUCRO P/ OPÇÃO])-32</f>
        <v>1204.0000000000002</v>
      </c>
      <c r="N3" s="25">
        <f>[QTDE]*[PERDA P/ OPÇÃO]-32</f>
        <v>-1195.9999999999995</v>
      </c>
      <c r="O3" s="27">
        <f>[EXERC. VENDA]/[PREÇO AÇÃO]-1</f>
        <v>-5.5180180180180116E-2</v>
      </c>
      <c r="P3" s="38">
        <f>[LUCRO*]/ABS([PERDA*])</f>
        <v>1.006688963210703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31" sqref="F31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20</v>
      </c>
      <c r="C2" s="51">
        <v>27.98</v>
      </c>
      <c r="D2" s="51">
        <v>26</v>
      </c>
      <c r="E2" s="51">
        <v>27</v>
      </c>
      <c r="F2" s="51">
        <v>2.16</v>
      </c>
      <c r="G2" s="62">
        <v>200</v>
      </c>
      <c r="H2" s="52">
        <f>([RISCO])/[QTDE]</f>
        <v>0.1</v>
      </c>
      <c r="I2" s="52">
        <f>[PR Venda] * [QTDE]+[QTDE]*[PR Compra]</f>
        <v>684</v>
      </c>
      <c r="J2" s="63">
        <f>[PR Venda]-[PR Compra]</f>
        <v>0.89999999999999991</v>
      </c>
      <c r="K2" s="52">
        <f>(-[PERDA P/ OPÇÃO] + ([EX. COMPRA] - [EX. VENDA] + 0.01) - 0.01 -[PR Venda])*-1</f>
        <v>1.2600000000000002</v>
      </c>
      <c r="L2" s="52">
        <f>([QTDE]*[LUCRO UNI])-64</f>
        <v>115.99999999999997</v>
      </c>
      <c r="M2" s="52">
        <f>-[PERDA P/ OPÇÃO]*[QTDE]-64</f>
        <v>-84</v>
      </c>
      <c r="N2" s="53">
        <f>[EX. VENDA]/[PREÇO AÇÃO]-1</f>
        <v>-7.0764832022873536E-2</v>
      </c>
      <c r="O2" s="54">
        <f>[LUCRO]/ABS([PERDA])</f>
        <v>1.3809523809523807</v>
      </c>
    </row>
    <row r="3" spans="1:15">
      <c r="A3" s="145" t="s">
        <v>83</v>
      </c>
      <c r="B3" s="146">
        <v>185</v>
      </c>
      <c r="C3" s="51">
        <v>27.25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-2.5688073394495303E-3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83" t="s">
        <v>7</v>
      </c>
      <c r="B1" s="183"/>
      <c r="C1" s="183" t="s">
        <v>8</v>
      </c>
      <c r="D1" s="183"/>
      <c r="E1" s="182" t="s">
        <v>9</v>
      </c>
      <c r="F1" s="182" t="s">
        <v>4</v>
      </c>
      <c r="G1" s="182" t="s">
        <v>10</v>
      </c>
      <c r="H1" s="182" t="s">
        <v>11</v>
      </c>
      <c r="I1" s="182" t="s">
        <v>23</v>
      </c>
      <c r="K1" s="181" t="s">
        <v>147</v>
      </c>
      <c r="L1" s="181"/>
      <c r="M1" s="181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82"/>
      <c r="F2" s="182"/>
      <c r="G2" s="182"/>
      <c r="H2" s="182"/>
      <c r="I2" s="182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81" t="s">
        <v>26</v>
      </c>
      <c r="B4" s="181"/>
      <c r="C4" s="181"/>
      <c r="D4" s="181"/>
      <c r="E4" s="181"/>
      <c r="F4" s="181"/>
      <c r="K4" s="17">
        <v>498.62</v>
      </c>
      <c r="L4" s="17">
        <v>0</v>
      </c>
      <c r="M4" s="104">
        <v>0.02</v>
      </c>
    </row>
    <row r="5" spans="1:13">
      <c r="A5" s="181" t="s">
        <v>7</v>
      </c>
      <c r="B5" s="181"/>
      <c r="C5" s="181"/>
      <c r="D5" s="181" t="s">
        <v>8</v>
      </c>
      <c r="E5" s="181"/>
      <c r="F5" s="181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NOTAS</vt:lpstr>
      <vt:lpstr>NOTAS 80%</vt:lpstr>
      <vt:lpstr>IR</vt:lpstr>
      <vt:lpstr>VOLAT-TENDENCIA</vt:lpstr>
      <vt:lpstr>TRAVA BAIXA</vt:lpstr>
      <vt:lpstr>TRAVA BAIXA NEW</vt:lpstr>
      <vt:lpstr>BORBOLETA</vt:lpstr>
      <vt:lpstr>Plan1</vt:lpstr>
      <vt:lpstr>SETUP</vt:lpstr>
      <vt:lpstr>Plan2</vt:lpstr>
      <vt:lpstr>Plan4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2014-05-22T20:10:27Z</dcterms:modified>
</cp:coreProperties>
</file>