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EstaPasta_de_trabalho" defaultThemeVersion="124226"/>
  <bookViews>
    <workbookView xWindow="240" yWindow="210" windowWidth="19320" windowHeight="7305" activeTab="1"/>
  </bookViews>
  <sheets>
    <sheet name="VOLATILIDADE" sheetId="1" r:id="rId1"/>
    <sheet name="TRAVA" sheetId="3" r:id="rId2"/>
    <sheet name="TENDENCIA" sheetId="4" r:id="rId3"/>
    <sheet name="SETUP" sheetId="2" r:id="rId4"/>
    <sheet name="RESUMO DE PROTEÇÃO" sheetId="5" r:id="rId5"/>
  </sheets>
  <calcPr calcId="124519"/>
</workbook>
</file>

<file path=xl/calcChain.xml><?xml version="1.0" encoding="utf-8"?>
<calcChain xmlns="http://schemas.openxmlformats.org/spreadsheetml/2006/main">
  <c r="G4" i="3"/>
  <c r="H4"/>
  <c r="M4"/>
  <c r="N4"/>
  <c r="S4"/>
  <c r="T4"/>
  <c r="Y4"/>
  <c r="Z4"/>
  <c r="AA4"/>
  <c r="I4" s="1"/>
  <c r="AB4"/>
  <c r="G31" i="1"/>
  <c r="H31"/>
  <c r="M31"/>
  <c r="N31"/>
  <c r="S31"/>
  <c r="T31"/>
  <c r="Y31"/>
  <c r="Z31"/>
  <c r="AA31"/>
  <c r="I31" s="1"/>
  <c r="AB31"/>
  <c r="A3" i="5"/>
  <c r="A2"/>
  <c r="J4" i="3" l="1"/>
  <c r="K4"/>
  <c r="L4"/>
  <c r="P4"/>
  <c r="Q4"/>
  <c r="R4"/>
  <c r="W4"/>
  <c r="X4" s="1"/>
  <c r="AC4"/>
  <c r="J31" i="1"/>
  <c r="K31"/>
  <c r="L31"/>
  <c r="P31"/>
  <c r="Q31"/>
  <c r="R31"/>
  <c r="W31"/>
  <c r="X31" s="1"/>
  <c r="AC31"/>
  <c r="U4" i="3" l="1"/>
  <c r="O4"/>
  <c r="U31" i="1"/>
  <c r="O31"/>
  <c r="V4" i="3" l="1"/>
  <c r="V31" i="1"/>
  <c r="Y2" i="4" l="1"/>
  <c r="Y3"/>
  <c r="Y2" i="3"/>
  <c r="Y3"/>
  <c r="G30" i="1"/>
  <c r="G29"/>
  <c r="G28"/>
  <c r="G27"/>
  <c r="G26"/>
  <c r="M26"/>
  <c r="M27"/>
  <c r="M28"/>
  <c r="M29"/>
  <c r="M30"/>
  <c r="N26"/>
  <c r="N27"/>
  <c r="N28"/>
  <c r="N29"/>
  <c r="N30"/>
  <c r="S26"/>
  <c r="S27"/>
  <c r="S28"/>
  <c r="S29"/>
  <c r="S30"/>
  <c r="T26"/>
  <c r="T27"/>
  <c r="T28"/>
  <c r="T29"/>
  <c r="T30"/>
  <c r="Y26"/>
  <c r="Y27"/>
  <c r="Y28"/>
  <c r="Y29"/>
  <c r="Y30"/>
  <c r="Z26"/>
  <c r="Z27"/>
  <c r="Z28"/>
  <c r="Z29"/>
  <c r="Z30"/>
  <c r="AA26"/>
  <c r="AA27"/>
  <c r="AA28"/>
  <c r="AA29"/>
  <c r="AA30"/>
  <c r="AB26"/>
  <c r="AB27"/>
  <c r="AB28"/>
  <c r="AB29"/>
  <c r="AB30"/>
  <c r="Y25"/>
  <c r="Y24"/>
  <c r="Y23"/>
  <c r="Y22"/>
  <c r="Y21"/>
  <c r="Y20"/>
  <c r="Y19"/>
  <c r="Y18"/>
  <c r="Y17"/>
  <c r="Y16"/>
  <c r="Y15"/>
  <c r="Y14"/>
  <c r="Y13"/>
  <c r="Y12"/>
  <c r="Y11"/>
  <c r="Y10"/>
  <c r="Y9"/>
  <c r="Y8"/>
  <c r="Y7"/>
  <c r="Y6"/>
  <c r="Y5"/>
  <c r="Y4"/>
  <c r="Y3"/>
  <c r="Y2"/>
  <c r="G25" l="1"/>
  <c r="M25"/>
  <c r="N25"/>
  <c r="S25"/>
  <c r="T25"/>
  <c r="Z25"/>
  <c r="G24"/>
  <c r="G23"/>
  <c r="M23"/>
  <c r="M24"/>
  <c r="N23"/>
  <c r="N24"/>
  <c r="S23"/>
  <c r="S24"/>
  <c r="T23"/>
  <c r="T24"/>
  <c r="Z23"/>
  <c r="Z24"/>
  <c r="AB25" l="1"/>
  <c r="AA25"/>
  <c r="AA23"/>
  <c r="AB23"/>
  <c r="AA24"/>
  <c r="AB24"/>
  <c r="G22"/>
  <c r="G21"/>
  <c r="G20"/>
  <c r="G19"/>
  <c r="G18"/>
  <c r="G17"/>
  <c r="G16"/>
  <c r="G15"/>
  <c r="M15"/>
  <c r="N15"/>
  <c r="S15"/>
  <c r="T15"/>
  <c r="Z15"/>
  <c r="M16"/>
  <c r="N16"/>
  <c r="S16"/>
  <c r="T16"/>
  <c r="Z16"/>
  <c r="AB16" s="1"/>
  <c r="M17"/>
  <c r="N17"/>
  <c r="S17"/>
  <c r="T17"/>
  <c r="Z17"/>
  <c r="AA17" s="1"/>
  <c r="M18"/>
  <c r="N18"/>
  <c r="S18"/>
  <c r="T18"/>
  <c r="Z18"/>
  <c r="M19"/>
  <c r="N19"/>
  <c r="S19"/>
  <c r="T19"/>
  <c r="Z19"/>
  <c r="M20"/>
  <c r="N20"/>
  <c r="S20"/>
  <c r="T20"/>
  <c r="Z20"/>
  <c r="M21"/>
  <c r="N21"/>
  <c r="S21"/>
  <c r="T21"/>
  <c r="Z21"/>
  <c r="M22"/>
  <c r="N22"/>
  <c r="S22"/>
  <c r="T22"/>
  <c r="Z22"/>
  <c r="AA22" s="1"/>
  <c r="G2"/>
  <c r="AB22" l="1"/>
  <c r="AB21"/>
  <c r="AA21"/>
  <c r="AB20"/>
  <c r="AA20"/>
  <c r="AB17"/>
  <c r="AA16"/>
  <c r="AA18"/>
  <c r="AB18"/>
  <c r="AA19"/>
  <c r="AB19"/>
  <c r="AA15"/>
  <c r="AB15"/>
  <c r="M3" i="4" l="1"/>
  <c r="N3"/>
  <c r="S3"/>
  <c r="T3"/>
  <c r="Z3"/>
  <c r="G2"/>
  <c r="H3" l="1"/>
  <c r="AA3"/>
  <c r="AB3"/>
  <c r="G14" i="1"/>
  <c r="M14"/>
  <c r="N14"/>
  <c r="S14"/>
  <c r="T14"/>
  <c r="Z14"/>
  <c r="G13"/>
  <c r="G12"/>
  <c r="G11"/>
  <c r="G10"/>
  <c r="M10"/>
  <c r="M11"/>
  <c r="M12"/>
  <c r="M13"/>
  <c r="N10"/>
  <c r="N11"/>
  <c r="N12"/>
  <c r="N13"/>
  <c r="S10"/>
  <c r="S11"/>
  <c r="S12"/>
  <c r="S13"/>
  <c r="T10"/>
  <c r="T11"/>
  <c r="T12"/>
  <c r="T13"/>
  <c r="Z10"/>
  <c r="Z11"/>
  <c r="Z12"/>
  <c r="AA12" s="1"/>
  <c r="Z13"/>
  <c r="AA13" s="1"/>
  <c r="G9"/>
  <c r="G8"/>
  <c r="G7"/>
  <c r="G6"/>
  <c r="G5"/>
  <c r="G4"/>
  <c r="M6"/>
  <c r="M7"/>
  <c r="M8"/>
  <c r="M9"/>
  <c r="N6"/>
  <c r="N7"/>
  <c r="N8"/>
  <c r="N9"/>
  <c r="S6"/>
  <c r="S7"/>
  <c r="S8"/>
  <c r="S9"/>
  <c r="T6"/>
  <c r="T7"/>
  <c r="T8"/>
  <c r="T9"/>
  <c r="Z6"/>
  <c r="Z7"/>
  <c r="Z8"/>
  <c r="Z9"/>
  <c r="M5"/>
  <c r="N5"/>
  <c r="S5"/>
  <c r="T5"/>
  <c r="Z5"/>
  <c r="AA5" s="1"/>
  <c r="M4"/>
  <c r="N4"/>
  <c r="S4"/>
  <c r="T4"/>
  <c r="Z4"/>
  <c r="G3"/>
  <c r="H3" i="3"/>
  <c r="Z2" i="4"/>
  <c r="T2"/>
  <c r="S2"/>
  <c r="N2"/>
  <c r="M2"/>
  <c r="H2"/>
  <c r="Z3" i="3"/>
  <c r="AB3" s="1"/>
  <c r="T3"/>
  <c r="S3"/>
  <c r="N3"/>
  <c r="M3"/>
  <c r="Z2"/>
  <c r="T2"/>
  <c r="S2"/>
  <c r="N2"/>
  <c r="M2"/>
  <c r="H25" i="1" l="1"/>
  <c r="H26"/>
  <c r="H27"/>
  <c r="H28"/>
  <c r="H29"/>
  <c r="H30"/>
  <c r="H24"/>
  <c r="H23"/>
  <c r="G32"/>
  <c r="H15"/>
  <c r="H19"/>
  <c r="H18"/>
  <c r="H21"/>
  <c r="H22"/>
  <c r="H17"/>
  <c r="H16"/>
  <c r="H20"/>
  <c r="H2"/>
  <c r="AB14"/>
  <c r="AA14"/>
  <c r="AB13"/>
  <c r="AA11"/>
  <c r="AB11"/>
  <c r="AB10"/>
  <c r="AA10"/>
  <c r="AB9"/>
  <c r="AA9"/>
  <c r="AA8"/>
  <c r="AB8"/>
  <c r="AB7"/>
  <c r="AA7"/>
  <c r="AB6"/>
  <c r="AA6"/>
  <c r="AB12"/>
  <c r="AB4"/>
  <c r="AA4"/>
  <c r="AB5"/>
  <c r="H2" i="3"/>
  <c r="AA2" i="4"/>
  <c r="AB2"/>
  <c r="AB2" i="3"/>
  <c r="AA2"/>
  <c r="AA3"/>
  <c r="I2" i="4" l="1"/>
  <c r="I3"/>
  <c r="I3" i="3"/>
  <c r="H14" i="1"/>
  <c r="H8"/>
  <c r="H10"/>
  <c r="H12"/>
  <c r="H13"/>
  <c r="H11"/>
  <c r="H7"/>
  <c r="H6"/>
  <c r="H9"/>
  <c r="H4"/>
  <c r="H5"/>
  <c r="I2" i="3"/>
  <c r="AC2" s="1"/>
  <c r="W2" i="4"/>
  <c r="X2" s="1"/>
  <c r="K2"/>
  <c r="R2"/>
  <c r="J2"/>
  <c r="Q2"/>
  <c r="P2"/>
  <c r="L2"/>
  <c r="AC2"/>
  <c r="Q3" i="3"/>
  <c r="P3"/>
  <c r="L3"/>
  <c r="W3"/>
  <c r="X3" s="1"/>
  <c r="K3"/>
  <c r="R3"/>
  <c r="J3"/>
  <c r="AC3"/>
  <c r="M3" i="1"/>
  <c r="N3"/>
  <c r="S3"/>
  <c r="T3"/>
  <c r="Z3"/>
  <c r="B3" i="5" s="1"/>
  <c r="K3" i="4" l="1"/>
  <c r="W3"/>
  <c r="X3" s="1"/>
  <c r="Q3"/>
  <c r="L3"/>
  <c r="P3"/>
  <c r="J3"/>
  <c r="O3" s="1"/>
  <c r="R3"/>
  <c r="AC3"/>
  <c r="O2"/>
  <c r="Q2" i="3"/>
  <c r="R2"/>
  <c r="K2"/>
  <c r="L2"/>
  <c r="W2"/>
  <c r="X2" s="1"/>
  <c r="P2"/>
  <c r="J2"/>
  <c r="U2" i="4"/>
  <c r="O3" i="3"/>
  <c r="U3"/>
  <c r="AA3" i="1"/>
  <c r="H3"/>
  <c r="T2"/>
  <c r="S2"/>
  <c r="N2"/>
  <c r="M2"/>
  <c r="U3" i="4" l="1"/>
  <c r="V3" s="1"/>
  <c r="O2" i="3"/>
  <c r="U2"/>
  <c r="V2" i="4"/>
  <c r="V3" i="3"/>
  <c r="V2"/>
  <c r="AB3" i="1"/>
  <c r="Z2"/>
  <c r="B2" i="5" s="1"/>
  <c r="AA2" i="1" l="1"/>
  <c r="I25" l="1"/>
  <c r="I30"/>
  <c r="I29"/>
  <c r="I28"/>
  <c r="I27"/>
  <c r="I26"/>
  <c r="AC25"/>
  <c r="K25"/>
  <c r="L25"/>
  <c r="P25"/>
  <c r="Q25"/>
  <c r="J25"/>
  <c r="O25" s="1"/>
  <c r="R25"/>
  <c r="W25"/>
  <c r="X25" s="1"/>
  <c r="I23"/>
  <c r="I24"/>
  <c r="I17"/>
  <c r="I18"/>
  <c r="I22"/>
  <c r="I15"/>
  <c r="I20"/>
  <c r="I19"/>
  <c r="I21"/>
  <c r="I16"/>
  <c r="I14"/>
  <c r="AC14" s="1"/>
  <c r="I2"/>
  <c r="I11"/>
  <c r="AC11" s="1"/>
  <c r="I10"/>
  <c r="AC10" s="1"/>
  <c r="I13"/>
  <c r="AC13" s="1"/>
  <c r="I12"/>
  <c r="AC12" s="1"/>
  <c r="I5"/>
  <c r="I8"/>
  <c r="AC8" s="1"/>
  <c r="I9"/>
  <c r="AC9" s="1"/>
  <c r="I6"/>
  <c r="AC6" s="1"/>
  <c r="I7"/>
  <c r="AC7" s="1"/>
  <c r="I4"/>
  <c r="AC4" s="1"/>
  <c r="AA32"/>
  <c r="AB2"/>
  <c r="AC2" s="1"/>
  <c r="I3"/>
  <c r="AC3" s="1"/>
  <c r="J26" l="1"/>
  <c r="K26"/>
  <c r="L26"/>
  <c r="P26"/>
  <c r="Q26"/>
  <c r="R26"/>
  <c r="W26"/>
  <c r="X26" s="1"/>
  <c r="AC26"/>
  <c r="J27"/>
  <c r="K27"/>
  <c r="L27"/>
  <c r="P27"/>
  <c r="Q27"/>
  <c r="R27"/>
  <c r="W27"/>
  <c r="X27" s="1"/>
  <c r="AC27"/>
  <c r="J28"/>
  <c r="K28"/>
  <c r="L28"/>
  <c r="P28"/>
  <c r="Q28"/>
  <c r="R28"/>
  <c r="W28"/>
  <c r="X28" s="1"/>
  <c r="AC28"/>
  <c r="J29"/>
  <c r="K29"/>
  <c r="L29"/>
  <c r="P29"/>
  <c r="Q29"/>
  <c r="R29"/>
  <c r="W29"/>
  <c r="X29" s="1"/>
  <c r="AC29"/>
  <c r="J30"/>
  <c r="K30"/>
  <c r="L30"/>
  <c r="P30"/>
  <c r="Q30"/>
  <c r="R30"/>
  <c r="W30"/>
  <c r="X30" s="1"/>
  <c r="AC30"/>
  <c r="U25"/>
  <c r="V25" s="1"/>
  <c r="J24"/>
  <c r="K24"/>
  <c r="L24"/>
  <c r="W24"/>
  <c r="X24" s="1"/>
  <c r="P24"/>
  <c r="Q24"/>
  <c r="R24"/>
  <c r="AC24"/>
  <c r="W23"/>
  <c r="X23" s="1"/>
  <c r="R23"/>
  <c r="J23"/>
  <c r="AC23"/>
  <c r="K23"/>
  <c r="L23"/>
  <c r="Q23"/>
  <c r="P23"/>
  <c r="R14"/>
  <c r="L14"/>
  <c r="K14"/>
  <c r="P14"/>
  <c r="L16"/>
  <c r="P16"/>
  <c r="Q16"/>
  <c r="J16"/>
  <c r="R16"/>
  <c r="W16"/>
  <c r="X16" s="1"/>
  <c r="K16"/>
  <c r="AC16"/>
  <c r="Q21"/>
  <c r="J21"/>
  <c r="R21"/>
  <c r="K21"/>
  <c r="W21"/>
  <c r="X21" s="1"/>
  <c r="L21"/>
  <c r="P21"/>
  <c r="AC21"/>
  <c r="K19"/>
  <c r="W19"/>
  <c r="X19" s="1"/>
  <c r="L19"/>
  <c r="P19"/>
  <c r="Q19"/>
  <c r="R19"/>
  <c r="J19"/>
  <c r="AC19"/>
  <c r="J18"/>
  <c r="R18"/>
  <c r="K18"/>
  <c r="W18"/>
  <c r="X18" s="1"/>
  <c r="L18"/>
  <c r="P18"/>
  <c r="Q18"/>
  <c r="AC18"/>
  <c r="K15"/>
  <c r="W15"/>
  <c r="X15" s="1"/>
  <c r="L15"/>
  <c r="P15"/>
  <c r="Q15"/>
  <c r="R15"/>
  <c r="J15"/>
  <c r="AC15"/>
  <c r="J22"/>
  <c r="R22"/>
  <c r="K22"/>
  <c r="W22"/>
  <c r="X22" s="1"/>
  <c r="P22"/>
  <c r="AC22"/>
  <c r="L22"/>
  <c r="Q22"/>
  <c r="L20"/>
  <c r="P20"/>
  <c r="Q20"/>
  <c r="K20"/>
  <c r="R20"/>
  <c r="W20"/>
  <c r="X20" s="1"/>
  <c r="J20"/>
  <c r="AC20"/>
  <c r="Q17"/>
  <c r="J17"/>
  <c r="R17"/>
  <c r="K17"/>
  <c r="W17"/>
  <c r="X17" s="1"/>
  <c r="P17"/>
  <c r="L17"/>
  <c r="AC17"/>
  <c r="W14"/>
  <c r="X14" s="1"/>
  <c r="J14"/>
  <c r="Q14"/>
  <c r="W5"/>
  <c r="X5" s="1"/>
  <c r="AC5"/>
  <c r="R5"/>
  <c r="Q5"/>
  <c r="P5"/>
  <c r="K5"/>
  <c r="L12"/>
  <c r="J12"/>
  <c r="R12"/>
  <c r="K12"/>
  <c r="W12"/>
  <c r="X12" s="1"/>
  <c r="Q12"/>
  <c r="P12"/>
  <c r="L13"/>
  <c r="W13"/>
  <c r="X13" s="1"/>
  <c r="P13"/>
  <c r="J13"/>
  <c r="Q13"/>
  <c r="K13"/>
  <c r="R13"/>
  <c r="P10"/>
  <c r="J10"/>
  <c r="Q10"/>
  <c r="K10"/>
  <c r="R10"/>
  <c r="L10"/>
  <c r="W10"/>
  <c r="X10" s="1"/>
  <c r="P11"/>
  <c r="J11"/>
  <c r="Q11"/>
  <c r="K11"/>
  <c r="R11"/>
  <c r="L11"/>
  <c r="W11"/>
  <c r="X11" s="1"/>
  <c r="L5"/>
  <c r="J5"/>
  <c r="J6"/>
  <c r="R6"/>
  <c r="W6"/>
  <c r="X6" s="1"/>
  <c r="P6"/>
  <c r="K6"/>
  <c r="Q6"/>
  <c r="L6"/>
  <c r="P9"/>
  <c r="J9"/>
  <c r="Q9"/>
  <c r="K9"/>
  <c r="R9"/>
  <c r="L9"/>
  <c r="W9"/>
  <c r="X9" s="1"/>
  <c r="J8"/>
  <c r="Q8"/>
  <c r="K8"/>
  <c r="R8"/>
  <c r="L8"/>
  <c r="W8"/>
  <c r="X8" s="1"/>
  <c r="P8"/>
  <c r="P7"/>
  <c r="J7"/>
  <c r="Q7"/>
  <c r="K7"/>
  <c r="R7"/>
  <c r="L7"/>
  <c r="W7"/>
  <c r="X7" s="1"/>
  <c r="L4"/>
  <c r="P4"/>
  <c r="J4"/>
  <c r="Q4"/>
  <c r="R4"/>
  <c r="K4"/>
  <c r="W4"/>
  <c r="X4" s="1"/>
  <c r="L3"/>
  <c r="W3"/>
  <c r="X3" s="1"/>
  <c r="R3"/>
  <c r="J3"/>
  <c r="Q3"/>
  <c r="P3"/>
  <c r="K3"/>
  <c r="K2"/>
  <c r="P2"/>
  <c r="L2"/>
  <c r="Q2"/>
  <c r="W2"/>
  <c r="X2" s="1"/>
  <c r="J2"/>
  <c r="R2"/>
  <c r="U30" l="1"/>
  <c r="O30"/>
  <c r="U29"/>
  <c r="O29"/>
  <c r="U28"/>
  <c r="O28"/>
  <c r="U27"/>
  <c r="O27"/>
  <c r="U26"/>
  <c r="O26"/>
  <c r="U23"/>
  <c r="U24"/>
  <c r="O24"/>
  <c r="O23"/>
  <c r="O14"/>
  <c r="O22"/>
  <c r="U14"/>
  <c r="O18"/>
  <c r="U15"/>
  <c r="U20"/>
  <c r="O15"/>
  <c r="U22"/>
  <c r="O21"/>
  <c r="U17"/>
  <c r="U18"/>
  <c r="U19"/>
  <c r="U16"/>
  <c r="O16"/>
  <c r="O17"/>
  <c r="O20"/>
  <c r="O19"/>
  <c r="U21"/>
  <c r="U12"/>
  <c r="U11"/>
  <c r="U5"/>
  <c r="U13"/>
  <c r="U10"/>
  <c r="O11"/>
  <c r="V11" s="1"/>
  <c r="O13"/>
  <c r="O12"/>
  <c r="O10"/>
  <c r="O6"/>
  <c r="O5"/>
  <c r="U6"/>
  <c r="U8"/>
  <c r="U7"/>
  <c r="O9"/>
  <c r="O8"/>
  <c r="O7"/>
  <c r="U9"/>
  <c r="O4"/>
  <c r="U4"/>
  <c r="U3"/>
  <c r="O3"/>
  <c r="O2"/>
  <c r="U2"/>
  <c r="V26" l="1"/>
  <c r="V27"/>
  <c r="V28"/>
  <c r="V29"/>
  <c r="V30"/>
  <c r="V23"/>
  <c r="V24"/>
  <c r="V14"/>
  <c r="V22"/>
  <c r="V18"/>
  <c r="V20"/>
  <c r="V16"/>
  <c r="V15"/>
  <c r="V21"/>
  <c r="V17"/>
  <c r="V19"/>
  <c r="V5"/>
  <c r="V13"/>
  <c r="V12"/>
  <c r="V10"/>
  <c r="V6"/>
  <c r="V7"/>
  <c r="V8"/>
  <c r="V9"/>
  <c r="V4"/>
  <c r="V3"/>
  <c r="V2"/>
</calcChain>
</file>

<file path=xl/sharedStrings.xml><?xml version="1.0" encoding="utf-8"?>
<sst xmlns="http://schemas.openxmlformats.org/spreadsheetml/2006/main" count="103" uniqueCount="39">
  <si>
    <t>APORTE</t>
  </si>
  <si>
    <t>LUCRO</t>
  </si>
  <si>
    <t>NO BOLSO</t>
  </si>
  <si>
    <t>DATA</t>
  </si>
  <si>
    <t>MONTANTE</t>
  </si>
  <si>
    <t>REINVESTIR</t>
  </si>
  <si>
    <t>APLICAÇÃO</t>
  </si>
  <si>
    <t>RENDA FIXA</t>
  </si>
  <si>
    <t>PREV LUCRO</t>
  </si>
  <si>
    <t>TOT RF</t>
  </si>
  <si>
    <t>NORMAL</t>
  </si>
  <si>
    <t>DAYTRADE</t>
  </si>
  <si>
    <t>EMOL.</t>
  </si>
  <si>
    <t>LIQUID.</t>
  </si>
  <si>
    <t>REGISTRO</t>
  </si>
  <si>
    <t>EMOL CP</t>
  </si>
  <si>
    <t>LIQD CP</t>
  </si>
  <si>
    <t>REG CP</t>
  </si>
  <si>
    <t>ISS</t>
  </si>
  <si>
    <t>TAXA CP</t>
  </si>
  <si>
    <t>OUTRAS CP</t>
  </si>
  <si>
    <t>ISS CP</t>
  </si>
  <si>
    <t>CORRETAGEM</t>
  </si>
  <si>
    <t>OUTROS</t>
  </si>
  <si>
    <t>EMOL VD</t>
  </si>
  <si>
    <t>LIQD VD</t>
  </si>
  <si>
    <t>REG VD</t>
  </si>
  <si>
    <t>ISS VD</t>
  </si>
  <si>
    <t>OUTRAS VD</t>
  </si>
  <si>
    <t>TAXA VD</t>
  </si>
  <si>
    <t>TRADE</t>
  </si>
  <si>
    <t>APORTE RF</t>
  </si>
  <si>
    <t>PATRIMÔNIO</t>
  </si>
  <si>
    <t>PERDA MAX</t>
  </si>
  <si>
    <t>% PERDA</t>
  </si>
  <si>
    <t>SAQUE</t>
  </si>
  <si>
    <t>PROTEÇÃO MÊS</t>
  </si>
  <si>
    <t>Total</t>
  </si>
  <si>
    <t>TOTAL</t>
  </si>
</sst>
</file>

<file path=xl/styles.xml><?xml version="1.0" encoding="utf-8"?>
<styleSheet xmlns="http://schemas.openxmlformats.org/spreadsheetml/2006/main">
  <numFmts count="5">
    <numFmt numFmtId="164" formatCode="_-&quot;R$&quot;\ * #,##0.00_-;\-&quot;R$&quot;\ * #,##0.00_-;_-&quot;R$&quot;\ * &quot;-&quot;??_-;_-@_-"/>
    <numFmt numFmtId="165" formatCode="0.0000%"/>
    <numFmt numFmtId="166" formatCode="[$R$-416]\ #,##0.00;[Red]\-[$R$-416]\ #,##0.00"/>
    <numFmt numFmtId="167" formatCode="[$-416]mmm\-yy;@"/>
    <numFmt numFmtId="168" formatCode="[$-416]mmmm\-yy;@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theme="1"/>
      <name val="Calibri"/>
      <scheme val="minor"/>
    </font>
    <font>
      <sz val="8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hair">
        <color indexed="8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3" fillId="0" borderId="0" xfId="0" applyFont="1"/>
    <xf numFmtId="164" fontId="2" fillId="0" borderId="0" xfId="1" applyFont="1"/>
    <xf numFmtId="10" fontId="2" fillId="0" borderId="0" xfId="2" applyNumberFormat="1" applyFont="1"/>
    <xf numFmtId="14" fontId="2" fillId="0" borderId="0" xfId="0" applyNumberFormat="1" applyFont="1"/>
    <xf numFmtId="164" fontId="2" fillId="0" borderId="0" xfId="1" applyNumberFormat="1" applyFont="1"/>
    <xf numFmtId="0" fontId="6" fillId="0" borderId="0" xfId="0" applyFont="1"/>
    <xf numFmtId="165" fontId="7" fillId="0" borderId="0" xfId="0" applyNumberFormat="1" applyFont="1"/>
    <xf numFmtId="166" fontId="5" fillId="0" borderId="0" xfId="0" applyNumberFormat="1" applyFont="1"/>
    <xf numFmtId="10" fontId="5" fillId="0" borderId="0" xfId="0" applyNumberFormat="1" applyFont="1"/>
    <xf numFmtId="164" fontId="8" fillId="0" borderId="0" xfId="1" applyFont="1"/>
    <xf numFmtId="0" fontId="8" fillId="0" borderId="0" xfId="0" applyFont="1"/>
    <xf numFmtId="164" fontId="3" fillId="0" borderId="0" xfId="1" applyFont="1"/>
    <xf numFmtId="164" fontId="8" fillId="0" borderId="0" xfId="1" applyNumberFormat="1" applyFont="1"/>
    <xf numFmtId="10" fontId="2" fillId="0" borderId="0" xfId="0" applyNumberFormat="1" applyFont="1"/>
    <xf numFmtId="164" fontId="2" fillId="0" borderId="0" xfId="0" applyNumberFormat="1" applyFont="1"/>
    <xf numFmtId="0" fontId="2" fillId="0" borderId="0" xfId="0" applyNumberFormat="1" applyFont="1"/>
    <xf numFmtId="0" fontId="8" fillId="0" borderId="0" xfId="0" applyNumberFormat="1" applyFont="1"/>
    <xf numFmtId="167" fontId="3" fillId="0" borderId="0" xfId="0" applyNumberFormat="1" applyFont="1"/>
    <xf numFmtId="167" fontId="2" fillId="0" borderId="0" xfId="0" applyNumberFormat="1" applyFont="1"/>
    <xf numFmtId="164" fontId="2" fillId="0" borderId="0" xfId="1" applyFont="1" applyBorder="1"/>
    <xf numFmtId="164" fontId="2" fillId="0" borderId="0" xfId="1" applyNumberFormat="1" applyFont="1" applyBorder="1"/>
    <xf numFmtId="164" fontId="8" fillId="0" borderId="0" xfId="1" applyNumberFormat="1" applyFont="1" applyBorder="1"/>
    <xf numFmtId="10" fontId="2" fillId="0" borderId="0" xfId="2" applyNumberFormat="1" applyFont="1" applyBorder="1"/>
    <xf numFmtId="10" fontId="2" fillId="0" borderId="0" xfId="0" applyNumberFormat="1" applyFont="1" applyBorder="1"/>
    <xf numFmtId="168" fontId="2" fillId="0" borderId="0" xfId="0" applyNumberFormat="1" applyFont="1"/>
    <xf numFmtId="168" fontId="3" fillId="0" borderId="0" xfId="0" applyNumberFormat="1" applyFont="1" applyAlignment="1">
      <alignment horizontal="center"/>
    </xf>
    <xf numFmtId="164" fontId="3" fillId="0" borderId="0" xfId="1" applyFont="1" applyAlignment="1">
      <alignment horizontal="center"/>
    </xf>
    <xf numFmtId="0" fontId="3" fillId="0" borderId="0" xfId="0" applyFont="1" applyAlignment="1">
      <alignment horizontal="center"/>
    </xf>
    <xf numFmtId="168" fontId="3" fillId="0" borderId="0" xfId="0" applyNumberFormat="1" applyFont="1"/>
    <xf numFmtId="0" fontId="6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9" fillId="0" borderId="0" xfId="0" applyFont="1"/>
    <xf numFmtId="168" fontId="9" fillId="0" borderId="0" xfId="0" applyNumberFormat="1" applyFont="1"/>
    <xf numFmtId="0" fontId="9" fillId="0" borderId="0" xfId="0" applyNumberFormat="1" applyFont="1"/>
    <xf numFmtId="0" fontId="10" fillId="0" borderId="0" xfId="0" applyNumberFormat="1" applyFont="1"/>
    <xf numFmtId="164" fontId="9" fillId="0" borderId="0" xfId="0" applyNumberFormat="1" applyFont="1"/>
    <xf numFmtId="0" fontId="9" fillId="0" borderId="0" xfId="0" applyFont="1" applyBorder="1"/>
    <xf numFmtId="164" fontId="9" fillId="0" borderId="0" xfId="1" applyFont="1" applyBorder="1"/>
    <xf numFmtId="164" fontId="9" fillId="0" borderId="0" xfId="1" applyNumberFormat="1" applyFont="1" applyBorder="1"/>
    <xf numFmtId="164" fontId="10" fillId="0" borderId="0" xfId="1" applyNumberFormat="1" applyFont="1" applyBorder="1"/>
    <xf numFmtId="10" fontId="9" fillId="0" borderId="0" xfId="2" applyNumberFormat="1" applyFont="1" applyBorder="1"/>
    <xf numFmtId="10" fontId="9" fillId="0" borderId="0" xfId="0" applyNumberFormat="1" applyFont="1" applyBorder="1"/>
  </cellXfs>
  <cellStyles count="3">
    <cellStyle name="Moeda" xfId="1" builtinId="4"/>
    <cellStyle name="Normal" xfId="0" builtinId="0"/>
    <cellStyle name="Porcentagem" xfId="2" builtinId="5"/>
  </cellStyles>
  <dxfs count="17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8" formatCode="[$-416]m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8" formatCode="[$-416]m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7" formatCode="[$-416]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7" formatCode="[$-416]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ela1" displayName="Tabela1" ref="A1:AC32" totalsRowCount="1" headerRowDxfId="176">
  <autoFilter ref="A1:AC31"/>
  <tableColumns count="29">
    <tableColumn id="1" name="TRADE" totalsRowLabel="Total" dataDxfId="175" totalsRowDxfId="174"/>
    <tableColumn id="2" name="DATA" dataDxfId="173" totalsRowDxfId="172"/>
    <tableColumn id="12" name="RENDA FIXA" dataDxfId="171" totalsRowDxfId="170" dataCellStyle="Moeda"/>
    <tableColumn id="26" name="APORTE RF" dataDxfId="169" totalsRowDxfId="168" dataCellStyle="Moeda"/>
    <tableColumn id="9" name="SAQUE" dataDxfId="167" totalsRowDxfId="166" dataCellStyle="Moeda"/>
    <tableColumn id="5" name="LUCRO" dataDxfId="165" totalsRowDxfId="164" dataCellStyle="Moeda"/>
    <tableColumn id="3" name="APORTE" totalsRowFunction="sum" dataDxfId="163" totalsRowDxfId="162" dataCellStyle="Moeda">
      <calculatedColumnFormula>380</calculatedColumnFormula>
    </tableColumn>
    <tableColumn id="4" name="MONTANTE" dataDxfId="161" totalsRowDxfId="160" dataCellStyle="Moeda">
      <calculatedColumnFormula>SUMPRODUCT(N([TRADE] &lt;= Tabela1[[#This Row],[TRADE]]), [APORTE]) + SUMPRODUCT(N([TRADE] &lt;= Tabela1[[#This Row],[TRADE]]), [APORTE RF])</calculatedColumnFormula>
    </tableColumn>
    <tableColumn id="10" name="APLICAÇÃO" dataDxfId="159" totalsRowDxfId="158" dataCellStyle="Moeda">
      <calculatedColumnFormula>[MONTANTE] - SUMPRODUCT(N([TRADE] &lt;= Tabela1[[#This Row],[TRADE]]), [SAQUE]) + SUMPRODUCT(N([TRADE] &lt; Tabela1[[#This Row],[TRADE]]), [REINVESTIR])</calculatedColumnFormula>
    </tableColumn>
    <tableColumn id="11" name="EMOL CP" dataDxfId="157" totalsRowDxfId="156" dataCellStyle="Moeda">
      <calculatedColumnFormula>TRUNC([APLICAÇÃO]  * SETUP!$A$3, 2)</calculatedColumnFormula>
    </tableColumn>
    <tableColumn id="13" name="LIQD CP" dataDxfId="155" totalsRowDxfId="154" dataCellStyle="Moeda">
      <calculatedColumnFormula>TRUNC([APLICAÇÃO]  * SETUP!$B$3, 2)</calculatedColumnFormula>
    </tableColumn>
    <tableColumn id="14" name="REG CP" dataDxfId="153" totalsRowDxfId="152" dataCellStyle="Moeda">
      <calculatedColumnFormula>TRUNC([APLICAÇÃO]  * SETUP!$C$3, 2)</calculatedColumnFormula>
    </tableColumn>
    <tableColumn id="16" name="ISS CP" dataDxfId="151" totalsRowDxfId="150" dataCellStyle="Moeda">
      <calculatedColumnFormula>TRUNC(SETUP!$G$3  * SETUP!$H$3, 2)</calculatedColumnFormula>
    </tableColumn>
    <tableColumn id="19" name="OUTRAS CP" dataDxfId="149" totalsRowDxfId="148" dataCellStyle="Moeda">
      <calculatedColumnFormula>ROUND(SETUP!$G$3 * SETUP!$I$3, 2)</calculatedColumnFormula>
    </tableColumn>
    <tableColumn id="18" name="TAXA CP" dataDxfId="147" totalsRowDxfId="146" dataCellStyle="Moeda">
      <calculatedColumnFormula>SETUP!$G$3 + SUM(Tabela1[[#This Row],[EMOL CP]]:Tabela1[[#This Row],[OUTRAS CP]])</calculatedColumnFormula>
    </tableColumn>
    <tableColumn id="25" name="EMOL VD" dataDxfId="145" totalsRowDxfId="144" dataCellStyle="Moeda">
      <calculatedColumnFormula>TRUNC([APLICAÇÃO] * 2  * SETUP!$A$3, 2)</calculatedColumnFormula>
    </tableColumn>
    <tableColumn id="24" name="LIQD VD" dataDxfId="143" totalsRowDxfId="142" dataCellStyle="Moeda">
      <calculatedColumnFormula>TRUNC([APLICAÇÃO] * 2  * SETUP!$B$3, 2)</calculatedColumnFormula>
    </tableColumn>
    <tableColumn id="23" name="REG VD" dataDxfId="141" totalsRowDxfId="140" dataCellStyle="Moeda">
      <calculatedColumnFormula>TRUNC([APLICAÇÃO] * 2  * SETUP!$C$3, 2)</calculatedColumnFormula>
    </tableColumn>
    <tableColumn id="22" name="ISS VD" dataDxfId="139" totalsRowDxfId="138" dataCellStyle="Moeda">
      <calculatedColumnFormula>TRUNC(SETUP!$G$3  * SETUP!$H$3, 2)</calculatedColumnFormula>
    </tableColumn>
    <tableColumn id="21" name="OUTRAS VD" dataDxfId="137" totalsRowDxfId="136" dataCellStyle="Moeda">
      <calculatedColumnFormula>ROUND(SETUP!$G$3 * SETUP!$I$3, 2)</calculatedColumnFormula>
    </tableColumn>
    <tableColumn id="20" name="TAXA VD" dataDxfId="135" totalsRowDxfId="134" dataCellStyle="Moeda">
      <calculatedColumnFormula>SETUP!$G$3 + SUM(Tabela1[[#This Row],[EMOL VD]]:Tabela1[[#This Row],[OUTRAS VD]])</calculatedColumnFormula>
    </tableColumn>
    <tableColumn id="17" name="PREV LUCRO" dataDxfId="133" totalsRowDxfId="132" dataCellStyle="Moeda">
      <calculatedColumnFormula>((([APLICAÇÃO] * 2) - [TAXA VD]) - ([APLICAÇÃO] + [TAXA CP])) * 0.85</calculatedColumnFormula>
    </tableColumn>
    <tableColumn id="28" name="PERDA MAX" dataDxfId="131" totalsRowDxfId="130" dataCellStyle="Moeda">
      <calculatedColumnFormula>[APLICAÇÃO] - (ROUND([RENDA FIXA] * 0.1,2))</calculatedColumnFormula>
    </tableColumn>
    <tableColumn id="29" name="% PERDA" dataDxfId="129" totalsRowDxfId="128" dataCellStyle="Porcentagem">
      <calculatedColumnFormula>Tabela1[[#This Row],[PERDA MAX]]/Tabela1[[#This Row],[APLICAÇÃO]]</calculatedColumnFormula>
    </tableColumn>
    <tableColumn id="6" name="NO BOLSO" dataDxfId="127" totalsRowDxfId="126">
      <calculatedColumnFormula>IF([LUCRO] &lt; ([RENDA FIXA]/2), 0.8, 0.8)</calculatedColumnFormula>
    </tableColumn>
    <tableColumn id="7" name="PROTEÇÃO MÊS" dataDxfId="125" totalsRowDxfId="124" dataCellStyle="Moeda">
      <calculatedColumnFormula>IF([LUCRO] &lt; 0, 0, ROUND([LUCRO]*[NO BOLSO], 2))</calculatedColumnFormula>
    </tableColumn>
    <tableColumn id="8" name="REINVESTIR" totalsRowFunction="sum" dataDxfId="123" totalsRowDxfId="122" dataCellStyle="Moeda">
      <calculatedColumnFormula>[LUCRO]-[PROTEÇÃO MÊS]</calculatedColumnFormula>
    </tableColumn>
    <tableColumn id="15" name="TOT RF" dataDxfId="121" totalsRowDxfId="120" dataCellStyle="Moeda">
      <calculatedColumnFormula>[RENDA FIXA] + [PROTEÇÃO MÊS] - [APORTE RF]</calculatedColumnFormula>
    </tableColumn>
    <tableColumn id="27" name="PATRIMÔNIO" dataDxfId="119" totalsRowDxfId="118" dataCellStyle="Moeda">
      <calculatedColumnFormula>[TOT RF] + [REINVESTIR] + [APLICAÇÃO]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13" displayName="Tabela13" ref="A1:AC5" totalsRowCount="1" headerRowDxfId="117">
  <autoFilter ref="A1:AC4"/>
  <tableColumns count="29">
    <tableColumn id="1" name="TRADE" totalsRowLabel="Total" dataDxfId="116" totalsRowDxfId="28"/>
    <tableColumn id="2" name="DATA" dataDxfId="115" totalsRowDxfId="27"/>
    <tableColumn id="12" name="RENDA FIXA" dataDxfId="114" totalsRowDxfId="26" dataCellStyle="Moeda"/>
    <tableColumn id="26" name="APORTE RF" dataDxfId="113" totalsRowDxfId="25" dataCellStyle="Moeda"/>
    <tableColumn id="9" name="SAQUE" dataDxfId="112" totalsRowDxfId="24" dataCellStyle="Moeda"/>
    <tableColumn id="5" name="LUCRO" dataDxfId="111" totalsRowDxfId="23" dataCellStyle="Moeda"/>
    <tableColumn id="3" name="APORTE" dataDxfId="110" totalsRowDxfId="22" dataCellStyle="Moeda">
      <calculatedColumnFormula>100</calculatedColumnFormula>
    </tableColumn>
    <tableColumn id="4" name="MONTANTE" dataDxfId="109" totalsRowDxfId="21" dataCellStyle="Moeda">
      <calculatedColumnFormula>SUMPRODUCT(N([TRADE] &lt;= Tabela13[[#This Row],[TRADE]]), [APORTE]) + SUMPRODUCT(N([TRADE] &lt;= Tabela13[[#This Row],[TRADE]]), [APORTE RF])</calculatedColumnFormula>
    </tableColumn>
    <tableColumn id="10" name="APLICAÇÃO" dataDxfId="108" totalsRowDxfId="20" dataCellStyle="Moeda">
      <calculatedColumnFormula>[MONTANTE] - SUMPRODUCT(N([TRADE] &lt;= Tabela13[[#This Row],[TRADE]]), [SAQUE]) + SUMPRODUCT(N([TRADE] &lt; Tabela13[[#This Row],[TRADE]]), [REINVESTIR])</calculatedColumnFormula>
    </tableColumn>
    <tableColumn id="11" name="EMOL CP" dataDxfId="107" totalsRowDxfId="19" dataCellStyle="Moeda">
      <calculatedColumnFormula>TRUNC([APLICAÇÃO]  * SETUP!$A$3, 2)</calculatedColumnFormula>
    </tableColumn>
    <tableColumn id="13" name="LIQD CP" dataDxfId="106" totalsRowDxfId="18" dataCellStyle="Moeda">
      <calculatedColumnFormula>TRUNC([APLICAÇÃO]  * SETUP!$B$3, 2)</calculatedColumnFormula>
    </tableColumn>
    <tableColumn id="14" name="REG CP" dataDxfId="105" totalsRowDxfId="17" dataCellStyle="Moeda">
      <calculatedColumnFormula>TRUNC([APLICAÇÃO]  * SETUP!$C$3, 2)</calculatedColumnFormula>
    </tableColumn>
    <tableColumn id="16" name="ISS CP" dataDxfId="104" totalsRowDxfId="16" dataCellStyle="Moeda">
      <calculatedColumnFormula>TRUNC(SETUP!$G$3  * SETUP!$H$3, 2)</calculatedColumnFormula>
    </tableColumn>
    <tableColumn id="19" name="OUTRAS CP" dataDxfId="103" totalsRowDxfId="15" dataCellStyle="Moeda">
      <calculatedColumnFormula>ROUND(SETUP!$G$3 * SETUP!$I$3, 2)</calculatedColumnFormula>
    </tableColumn>
    <tableColumn id="18" name="TAXA CP" dataDxfId="102" totalsRowDxfId="14" dataCellStyle="Moeda">
      <calculatedColumnFormula>SETUP!$G$3 + SUM(Tabela13[[#This Row],[EMOL CP]]:Tabela13[[#This Row],[OUTRAS CP]])</calculatedColumnFormula>
    </tableColumn>
    <tableColumn id="25" name="EMOL VD" dataDxfId="101" totalsRowDxfId="13" dataCellStyle="Moeda">
      <calculatedColumnFormula>TRUNC([APLICAÇÃO] * 2  * SETUP!$A$3, 2)</calculatedColumnFormula>
    </tableColumn>
    <tableColumn id="24" name="LIQD VD" dataDxfId="100" totalsRowDxfId="12" dataCellStyle="Moeda">
      <calculatedColumnFormula>TRUNC([APLICAÇÃO] * 2  * SETUP!$B$3, 2)</calculatedColumnFormula>
    </tableColumn>
    <tableColumn id="23" name="REG VD" dataDxfId="99" totalsRowDxfId="11" dataCellStyle="Moeda">
      <calculatedColumnFormula>TRUNC([APLICAÇÃO] * 2  * SETUP!$C$3, 2)</calculatedColumnFormula>
    </tableColumn>
    <tableColumn id="22" name="ISS VD" dataDxfId="98" totalsRowDxfId="10" dataCellStyle="Moeda">
      <calculatedColumnFormula>TRUNC(SETUP!$G$3  * SETUP!$H$3, 2)</calculatedColumnFormula>
    </tableColumn>
    <tableColumn id="21" name="OUTRAS VD" dataDxfId="97" totalsRowDxfId="9" dataCellStyle="Moeda">
      <calculatedColumnFormula>ROUND(SETUP!$G$3 * SETUP!$I$3, 2)</calculatedColumnFormula>
    </tableColumn>
    <tableColumn id="20" name="TAXA VD" dataDxfId="96" totalsRowDxfId="8" dataCellStyle="Moeda">
      <calculatedColumnFormula>SETUP!$G$3 + SUM(Tabela13[[#This Row],[EMOL VD]]:Tabela13[[#This Row],[OUTRAS VD]])</calculatedColumnFormula>
    </tableColumn>
    <tableColumn id="17" name="PREV LUCRO" dataDxfId="95" totalsRowDxfId="7" dataCellStyle="Moeda">
      <calculatedColumnFormula>((([APLICAÇÃO] * 2) - [TAXA VD]) - ([APLICAÇÃO] + [TAXA CP])) * 0.85</calculatedColumnFormula>
    </tableColumn>
    <tableColumn id="28" name="PERDA MAX" dataDxfId="94" totalsRowDxfId="6" dataCellStyle="Moeda">
      <calculatedColumnFormula>[APLICAÇÃO] - (ROUND([RENDA FIXA] * 0.1,2))</calculatedColumnFormula>
    </tableColumn>
    <tableColumn id="29" name="% PERDA" dataDxfId="93" totalsRowDxfId="5" dataCellStyle="Porcentagem">
      <calculatedColumnFormula>Tabela13[[#This Row],[PERDA MAX]]/Tabela13[[#This Row],[APLICAÇÃO]]</calculatedColumnFormula>
    </tableColumn>
    <tableColumn id="6" name="NO BOLSO" dataDxfId="92" totalsRowDxfId="4">
      <calculatedColumnFormula>IF([LUCRO] &lt; ([RENDA FIXA]/2), 0.8, 0.8)</calculatedColumnFormula>
    </tableColumn>
    <tableColumn id="7" name="PROTEÇÃO MÊS" dataDxfId="91" totalsRowDxfId="3" dataCellStyle="Moeda">
      <calculatedColumnFormula>IF([LUCRO] &lt; 0, 0, ROUND([LUCRO]*[NO BOLSO], 2))</calculatedColumnFormula>
    </tableColumn>
    <tableColumn id="8" name="REINVESTIR" dataDxfId="90" totalsRowDxfId="2" dataCellStyle="Moeda">
      <calculatedColumnFormula>[LUCRO]-[PROTEÇÃO MÊS]</calculatedColumnFormula>
    </tableColumn>
    <tableColumn id="15" name="TOT RF" dataDxfId="89" totalsRowDxfId="1" dataCellStyle="Moeda">
      <calculatedColumnFormula>[RENDA FIXA] + [PROTEÇÃO MÊS] - [APORTE RF]</calculatedColumnFormula>
    </tableColumn>
    <tableColumn id="27" name="PATRIMÔNIO" dataDxfId="88" totalsRowDxfId="0" dataCellStyle="Moeda">
      <calculatedColumnFormula>[TOT RF] + [REINVESTIR] + [APLICAÇÃO]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ela134" displayName="Tabela134" ref="A1:AC4" totalsRowCount="1" headerRowDxfId="87">
  <autoFilter ref="A1:AC3"/>
  <tableColumns count="29">
    <tableColumn id="1" name="TRADE" totalsRowLabel="Total" dataDxfId="86" totalsRowDxfId="85"/>
    <tableColumn id="2" name="DATA" dataDxfId="84" totalsRowDxfId="83"/>
    <tableColumn id="12" name="RENDA FIXA" dataDxfId="82" totalsRowDxfId="81" dataCellStyle="Moeda"/>
    <tableColumn id="26" name="APORTE RF" dataDxfId="80" totalsRowDxfId="79" dataCellStyle="Moeda"/>
    <tableColumn id="9" name="SAQUE" dataDxfId="78" totalsRowDxfId="77" dataCellStyle="Moeda"/>
    <tableColumn id="5" name="LUCRO" dataDxfId="76" totalsRowDxfId="75" dataCellStyle="Moeda"/>
    <tableColumn id="3" name="APORTE" dataDxfId="74" totalsRowDxfId="73" dataCellStyle="Moeda">
      <calculatedColumnFormula>100</calculatedColumnFormula>
    </tableColumn>
    <tableColumn id="4" name="MONTANTE" dataDxfId="72" totalsRowDxfId="71" dataCellStyle="Moeda">
      <calculatedColumnFormula>SUMPRODUCT(N([TRADE] &lt;= Tabela134[[#This Row],[TRADE]]), [APORTE]) + SUMPRODUCT(N([TRADE] &lt;= Tabela134[[#This Row],[TRADE]]), [APORTE RF])</calculatedColumnFormula>
    </tableColumn>
    <tableColumn id="10" name="APLICAÇÃO" dataDxfId="70" totalsRowDxfId="69" dataCellStyle="Moeda">
      <calculatedColumnFormula>[MONTANTE] - SUMPRODUCT(N([TRADE] &lt;= Tabela134[[#This Row],[TRADE]]), [SAQUE]) + SUMPRODUCT(N([TRADE] &lt; Tabela134[[#This Row],[TRADE]]), [REINVESTIR])</calculatedColumnFormula>
    </tableColumn>
    <tableColumn id="11" name="EMOL CP" dataDxfId="68" totalsRowDxfId="67" dataCellStyle="Moeda">
      <calculatedColumnFormula>TRUNC([APLICAÇÃO]  * SETUP!$A$3, 2)</calculatedColumnFormula>
    </tableColumn>
    <tableColumn id="13" name="LIQD CP" dataDxfId="66" totalsRowDxfId="65" dataCellStyle="Moeda">
      <calculatedColumnFormula>TRUNC([APLICAÇÃO]  * SETUP!$B$3, 2)</calculatedColumnFormula>
    </tableColumn>
    <tableColumn id="14" name="REG CP" dataDxfId="64" totalsRowDxfId="63" dataCellStyle="Moeda">
      <calculatedColumnFormula>TRUNC([APLICAÇÃO]  * SETUP!$C$3, 2)</calculatedColumnFormula>
    </tableColumn>
    <tableColumn id="16" name="ISS CP" dataDxfId="62" totalsRowDxfId="61" dataCellStyle="Moeda">
      <calculatedColumnFormula>TRUNC(SETUP!$G$3  * SETUP!$H$3, 2)</calculatedColumnFormula>
    </tableColumn>
    <tableColumn id="19" name="OUTRAS CP" dataDxfId="60" totalsRowDxfId="59" dataCellStyle="Moeda">
      <calculatedColumnFormula>ROUND(SETUP!$G$3 * SETUP!$I$3, 2)</calculatedColumnFormula>
    </tableColumn>
    <tableColumn id="18" name="TAXA CP" dataDxfId="58" totalsRowDxfId="57" dataCellStyle="Moeda">
      <calculatedColumnFormula>SETUP!$G$3 + SUM(Tabela134[[#This Row],[EMOL CP]]:Tabela134[[#This Row],[OUTRAS CP]])</calculatedColumnFormula>
    </tableColumn>
    <tableColumn id="25" name="EMOL VD" dataDxfId="56" totalsRowDxfId="55" dataCellStyle="Moeda">
      <calculatedColumnFormula>TRUNC([APLICAÇÃO] * 2  * SETUP!$A$3, 2)</calculatedColumnFormula>
    </tableColumn>
    <tableColumn id="24" name="LIQD VD" dataDxfId="54" totalsRowDxfId="53" dataCellStyle="Moeda">
      <calculatedColumnFormula>TRUNC([APLICAÇÃO] * 2  * SETUP!$B$3, 2)</calculatedColumnFormula>
    </tableColumn>
    <tableColumn id="23" name="REG VD" dataDxfId="52" totalsRowDxfId="51" dataCellStyle="Moeda">
      <calculatedColumnFormula>TRUNC([APLICAÇÃO] * 2  * SETUP!$C$3, 2)</calculatedColumnFormula>
    </tableColumn>
    <tableColumn id="22" name="ISS VD" dataDxfId="50" totalsRowDxfId="49" dataCellStyle="Moeda">
      <calculatedColumnFormula>TRUNC(SETUP!$G$3  * SETUP!$H$3, 2)</calculatedColumnFormula>
    </tableColumn>
    <tableColumn id="21" name="OUTRAS VD" dataDxfId="48" totalsRowDxfId="47" dataCellStyle="Moeda">
      <calculatedColumnFormula>ROUND(SETUP!$G$3 * SETUP!$I$3, 2)</calculatedColumnFormula>
    </tableColumn>
    <tableColumn id="20" name="TAXA VD" dataDxfId="46" totalsRowDxfId="45" dataCellStyle="Moeda">
      <calculatedColumnFormula>SETUP!$G$3 + SUM(Tabela134[[#This Row],[EMOL VD]]:Tabela134[[#This Row],[OUTRAS VD]])</calculatedColumnFormula>
    </tableColumn>
    <tableColumn id="17" name="PREV LUCRO" dataDxfId="44" totalsRowDxfId="43" dataCellStyle="Moeda">
      <calculatedColumnFormula>((([APLICAÇÃO] * 2) - [TAXA VD]) - ([APLICAÇÃO] + [TAXA CP])) * 0.85</calculatedColumnFormula>
    </tableColumn>
    <tableColumn id="28" name="PERDA MAX" dataDxfId="42" totalsRowDxfId="41" dataCellStyle="Moeda">
      <calculatedColumnFormula>[APLICAÇÃO] - (ROUND([RENDA FIXA] * 0.1,2))</calculatedColumnFormula>
    </tableColumn>
    <tableColumn id="29" name="% PERDA" dataDxfId="40" totalsRowDxfId="39" dataCellStyle="Porcentagem">
      <calculatedColumnFormula>Tabela134[[#This Row],[PERDA MAX]]/Tabela134[[#This Row],[APLICAÇÃO]]</calculatedColumnFormula>
    </tableColumn>
    <tableColumn id="6" name="NO BOLSO" dataDxfId="38" totalsRowDxfId="37">
      <calculatedColumnFormula>IF([LUCRO] &lt; ([RENDA FIXA]/2), 0.8, 0.8)</calculatedColumnFormula>
    </tableColumn>
    <tableColumn id="7" name="PROTEÇÃO MÊS" dataDxfId="36" totalsRowDxfId="35" dataCellStyle="Moeda">
      <calculatedColumnFormula>IF([LUCRO] &lt; 0, 0, ROUND([LUCRO]*[NO BOLSO], 2))</calculatedColumnFormula>
    </tableColumn>
    <tableColumn id="8" name="REINVESTIR" dataDxfId="34" totalsRowDxfId="33" dataCellStyle="Moeda">
      <calculatedColumnFormula>[LUCRO]-[PROTEÇÃO MÊS]</calculatedColumnFormula>
    </tableColumn>
    <tableColumn id="15" name="TOT RF" dataDxfId="32" totalsRowDxfId="31" dataCellStyle="Moeda">
      <calculatedColumnFormula>[RENDA FIXA] + [PROTEÇÃO MÊS] - [APORTE RF]</calculatedColumnFormula>
    </tableColumn>
    <tableColumn id="27" name="PATRIMÔNIO" dataDxfId="30" totalsRowDxfId="29" dataCellStyle="Moeda">
      <calculatedColumnFormula>[TOT RF] + [REINVESTIR] + [APLICAÇÃO]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/>
  <dimension ref="A1:AC32"/>
  <sheetViews>
    <sheetView workbookViewId="0">
      <selection activeCell="I27" sqref="I27"/>
    </sheetView>
  </sheetViews>
  <sheetFormatPr defaultRowHeight="11.25"/>
  <cols>
    <col min="1" max="1" width="7.5703125" style="1" bestFit="1" customWidth="1"/>
    <col min="2" max="2" width="6.85546875" style="20" bestFit="1" customWidth="1"/>
    <col min="3" max="3" width="12.85546875" style="1" bestFit="1" customWidth="1"/>
    <col min="4" max="4" width="10.140625" style="1" bestFit="1" customWidth="1"/>
    <col min="5" max="5" width="8.5703125" style="1" bestFit="1" customWidth="1"/>
    <col min="6" max="6" width="11.5703125" style="3" bestFit="1" customWidth="1"/>
    <col min="7" max="7" width="10.85546875" style="1" customWidth="1"/>
    <col min="8" max="8" width="12.85546875" style="1" hidden="1" customWidth="1"/>
    <col min="9" max="9" width="11.5703125" style="1" bestFit="1" customWidth="1"/>
    <col min="10" max="10" width="7.85546875" style="1" hidden="1" customWidth="1"/>
    <col min="11" max="11" width="7.140625" style="1" hidden="1" customWidth="1"/>
    <col min="12" max="12" width="10.5703125" style="1" hidden="1" customWidth="1"/>
    <col min="13" max="13" width="8.85546875" style="1" hidden="1" customWidth="1"/>
    <col min="14" max="19" width="9.140625" style="1" hidden="1" customWidth="1"/>
    <col min="20" max="20" width="11.42578125" style="1" hidden="1" customWidth="1"/>
    <col min="21" max="21" width="11.5703125" style="1" hidden="1" customWidth="1"/>
    <col min="22" max="22" width="11.42578125" style="12" bestFit="1" customWidth="1"/>
    <col min="23" max="23" width="11.5703125" style="1" bestFit="1" customWidth="1"/>
    <col min="24" max="24" width="9.140625" style="1" bestFit="1" customWidth="1"/>
    <col min="25" max="25" width="9.85546875" style="1" bestFit="1" customWidth="1"/>
    <col min="26" max="26" width="13.42578125" style="1" bestFit="1" customWidth="1"/>
    <col min="27" max="27" width="11.5703125" style="1" bestFit="1" customWidth="1"/>
    <col min="28" max="29" width="12.85546875" style="1" bestFit="1" customWidth="1"/>
    <col min="30" max="16384" width="9.140625" style="1"/>
  </cols>
  <sheetData>
    <row r="1" spans="1:29">
      <c r="A1" s="2" t="s">
        <v>30</v>
      </c>
      <c r="B1" s="19" t="s">
        <v>3</v>
      </c>
      <c r="C1" s="2" t="s">
        <v>7</v>
      </c>
      <c r="D1" s="2" t="s">
        <v>31</v>
      </c>
      <c r="E1" s="13" t="s">
        <v>35</v>
      </c>
      <c r="F1" s="13" t="s">
        <v>1</v>
      </c>
      <c r="G1" s="2" t="s">
        <v>0</v>
      </c>
      <c r="H1" s="2" t="s">
        <v>4</v>
      </c>
      <c r="I1" s="2" t="s">
        <v>6</v>
      </c>
      <c r="J1" s="2" t="s">
        <v>15</v>
      </c>
      <c r="K1" s="2" t="s">
        <v>16</v>
      </c>
      <c r="L1" s="2" t="s">
        <v>17</v>
      </c>
      <c r="M1" s="2" t="s">
        <v>21</v>
      </c>
      <c r="N1" s="2" t="s">
        <v>20</v>
      </c>
      <c r="O1" s="2" t="s">
        <v>19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29</v>
      </c>
      <c r="V1" s="2" t="s">
        <v>8</v>
      </c>
      <c r="W1" s="2" t="s">
        <v>33</v>
      </c>
      <c r="X1" s="2" t="s">
        <v>34</v>
      </c>
      <c r="Y1" s="2" t="s">
        <v>2</v>
      </c>
      <c r="Z1" s="2" t="s">
        <v>36</v>
      </c>
      <c r="AA1" s="2" t="s">
        <v>5</v>
      </c>
      <c r="AB1" s="2" t="s">
        <v>9</v>
      </c>
      <c r="AC1" s="2" t="s">
        <v>32</v>
      </c>
    </row>
    <row r="2" spans="1:29">
      <c r="A2" s="1">
        <v>1</v>
      </c>
      <c r="B2" s="20">
        <v>41000</v>
      </c>
      <c r="C2" s="3">
        <v>0</v>
      </c>
      <c r="D2" s="3">
        <v>0</v>
      </c>
      <c r="E2" s="3">
        <v>0</v>
      </c>
      <c r="F2" s="3">
        <v>366.88</v>
      </c>
      <c r="G2" s="3">
        <f>400</f>
        <v>400</v>
      </c>
      <c r="H2" s="3">
        <f>SUMPRODUCT(N([TRADE] &lt;= Tabela1[[#This Row],[TRADE]]), [APORTE]) + SUMPRODUCT(N([TRADE] &lt;= Tabela1[[#This Row],[TRADE]]), [APORTE RF])</f>
        <v>400</v>
      </c>
      <c r="I2" s="3">
        <f>[MONTANTE] - SUMPRODUCT(N([TRADE] &lt;= Tabela1[[#This Row],[TRADE]]), [SAQUE]) + SUMPRODUCT(N([TRADE] &lt; Tabela1[[#This Row],[TRADE]]), [REINVESTIR])</f>
        <v>400</v>
      </c>
      <c r="J2" s="3">
        <f>TRUNC([APLICAÇÃO]  * SETUP!$A$3, 2)</f>
        <v>0.14000000000000001</v>
      </c>
      <c r="K2" s="3">
        <f>TRUNC([APLICAÇÃO]  * SETUP!$B$3, 2)</f>
        <v>0.11</v>
      </c>
      <c r="L2" s="3">
        <f>TRUNC([APLICAÇÃO]  * SETUP!$C$3, 2)</f>
        <v>0.27</v>
      </c>
      <c r="M2" s="3">
        <f>TRUNC(SETUP!$G$3  * SETUP!$H$3, 2)</f>
        <v>0.28999999999999998</v>
      </c>
      <c r="N2" s="3">
        <f>ROUND(SETUP!$G$3 * SETUP!$I$3, 2)</f>
        <v>0.57999999999999996</v>
      </c>
      <c r="O2" s="3">
        <f>SETUP!$G$3 + SUM(Tabela1[[#This Row],[EMOL CP]]:Tabela1[[#This Row],[OUTRAS CP]])</f>
        <v>16.29</v>
      </c>
      <c r="P2" s="3">
        <f>TRUNC([APLICAÇÃO] * 2  * SETUP!$A$3, 2)</f>
        <v>0.28999999999999998</v>
      </c>
      <c r="Q2" s="3">
        <f>TRUNC([APLICAÇÃO] * 2  * SETUP!$B$3, 2)</f>
        <v>0.22</v>
      </c>
      <c r="R2" s="3">
        <f>TRUNC([APLICAÇÃO] * 2  * SETUP!$C$3, 2)</f>
        <v>0.55000000000000004</v>
      </c>
      <c r="S2" s="3">
        <f>TRUNC(SETUP!$G$3  * SETUP!$H$3, 2)</f>
        <v>0.28999999999999998</v>
      </c>
      <c r="T2" s="3">
        <f>ROUND(SETUP!$G$3 * SETUP!$I$3, 2)</f>
        <v>0.57999999999999996</v>
      </c>
      <c r="U2" s="3">
        <f>SETUP!$G$3 + SUM(Tabela1[[#This Row],[EMOL VD]]:Tabela1[[#This Row],[OUTRAS VD]])</f>
        <v>16.830000000000002</v>
      </c>
      <c r="V2" s="3">
        <f>((([APLICAÇÃO] * 2) - [TAXA VD]) - ([APLICAÇÃO] + [TAXA CP])) * 0.85</f>
        <v>311.84799999999996</v>
      </c>
      <c r="W2" s="11">
        <f>[APLICAÇÃO] - (ROUND([RENDA FIXA] * 0.1,2))</f>
        <v>400</v>
      </c>
      <c r="X2" s="4">
        <f>Tabela1[[#This Row],[PERDA MAX]]/Tabela1[[#This Row],[APLICAÇÃO]]</f>
        <v>1</v>
      </c>
      <c r="Y2" s="4">
        <f>IF([LUCRO] &lt; ([RENDA FIXA]/2), 0.8, 0.8)</f>
        <v>0.8</v>
      </c>
      <c r="Z2" s="3">
        <f>IF([LUCRO] &lt; 0, 0, ROUND([LUCRO]*[NO BOLSO], 2))</f>
        <v>293.5</v>
      </c>
      <c r="AA2" s="3">
        <f>[LUCRO]-[PROTEÇÃO MÊS]</f>
        <v>73.38</v>
      </c>
      <c r="AB2" s="3">
        <f>[RENDA FIXA] + [PROTEÇÃO MÊS] - [APORTE RF]</f>
        <v>293.5</v>
      </c>
      <c r="AC2" s="6">
        <f>[TOT RF] + [REINVESTIR]</f>
        <v>366.88</v>
      </c>
    </row>
    <row r="3" spans="1:29">
      <c r="A3" s="1">
        <v>2</v>
      </c>
      <c r="B3" s="20">
        <v>41030</v>
      </c>
      <c r="C3" s="3">
        <v>293.5</v>
      </c>
      <c r="D3" s="3">
        <v>0</v>
      </c>
      <c r="E3" s="3">
        <v>0</v>
      </c>
      <c r="F3" s="3">
        <v>0</v>
      </c>
      <c r="G3" s="3">
        <f>400</f>
        <v>400</v>
      </c>
      <c r="H3" s="3">
        <f>SUMPRODUCT(N([TRADE] &lt;= Tabela1[[#This Row],[TRADE]]), [APORTE]) + SUMPRODUCT(N([TRADE] &lt;= Tabela1[[#This Row],[TRADE]]), [APORTE RF])</f>
        <v>800</v>
      </c>
      <c r="I3" s="3">
        <f>[MONTANTE] - SUMPRODUCT(N([TRADE] &lt;= Tabela1[[#This Row],[TRADE]]), [SAQUE]) + SUMPRODUCT(N([TRADE] &lt; Tabela1[[#This Row],[TRADE]]), [REINVESTIR])</f>
        <v>873.38</v>
      </c>
      <c r="J3" s="3">
        <f>TRUNC([APLICAÇÃO]  * SETUP!$A$3, 2)</f>
        <v>0.32</v>
      </c>
      <c r="K3" s="3">
        <f>TRUNC([APLICAÇÃO]  * SETUP!$B$3, 2)</f>
        <v>0.24</v>
      </c>
      <c r="L3" s="3">
        <f>TRUNC([APLICAÇÃO]  * SETUP!$C$3, 2)</f>
        <v>0.6</v>
      </c>
      <c r="M3" s="3">
        <f>TRUNC(SETUP!$G$3  * SETUP!$H$3, 2)</f>
        <v>0.28999999999999998</v>
      </c>
      <c r="N3" s="3">
        <f>ROUND(SETUP!$G$3 * SETUP!$I$3, 2)</f>
        <v>0.57999999999999996</v>
      </c>
      <c r="O3" s="3">
        <f>SETUP!$G$3 + SUM(Tabela1[[#This Row],[EMOL CP]]:Tabela1[[#This Row],[OUTRAS CP]])</f>
        <v>16.93</v>
      </c>
      <c r="P3" s="3">
        <f>TRUNC([APLICAÇÃO] * 2  * SETUP!$A$3, 2)</f>
        <v>0.64</v>
      </c>
      <c r="Q3" s="3">
        <f>TRUNC([APLICAÇÃO] * 2  * SETUP!$B$3, 2)</f>
        <v>0.48</v>
      </c>
      <c r="R3" s="3">
        <f>TRUNC([APLICAÇÃO] * 2  * SETUP!$C$3, 2)</f>
        <v>1.21</v>
      </c>
      <c r="S3" s="3">
        <f>TRUNC(SETUP!$G$3  * SETUP!$H$3, 2)</f>
        <v>0.28999999999999998</v>
      </c>
      <c r="T3" s="3">
        <f>ROUND(SETUP!$G$3 * SETUP!$I$3, 2)</f>
        <v>0.57999999999999996</v>
      </c>
      <c r="U3" s="3">
        <f>SETUP!$G$3 + SUM(Tabela1[[#This Row],[EMOL VD]]:Tabela1[[#This Row],[OUTRAS VD]])</f>
        <v>18.100000000000001</v>
      </c>
      <c r="V3" s="3">
        <f>((([APLICAÇÃO] * 2) - [TAXA VD]) - ([APLICAÇÃO] + [TAXA CP])) * 0.85</f>
        <v>712.59750000000008</v>
      </c>
      <c r="W3" s="11">
        <f>[APLICAÇÃO] - (ROUND([RENDA FIXA] * 0.1,2))</f>
        <v>844.03</v>
      </c>
      <c r="X3" s="4">
        <f>Tabela1[[#This Row],[PERDA MAX]]/Tabela1[[#This Row],[APLICAÇÃO]]</f>
        <v>0.96639492546199823</v>
      </c>
      <c r="Y3" s="4">
        <f>IF([LUCRO] &lt; ([RENDA FIXA]/2), 0.8, 0.8)</f>
        <v>0.8</v>
      </c>
      <c r="Z3" s="3">
        <f>IF([LUCRO] &lt; 0, 0, ROUND([LUCRO]*[NO BOLSO], 2))</f>
        <v>0</v>
      </c>
      <c r="AA3" s="3">
        <f>[LUCRO]-[PROTEÇÃO MÊS]</f>
        <v>0</v>
      </c>
      <c r="AB3" s="3">
        <f>[RENDA FIXA] + [PROTEÇÃO MÊS] - [APORTE RF]</f>
        <v>293.5</v>
      </c>
      <c r="AC3" s="6">
        <f>[TOT RF] + [REINVESTIR] + [APLICAÇÃO]</f>
        <v>1166.8800000000001</v>
      </c>
    </row>
    <row r="4" spans="1:29">
      <c r="A4" s="1">
        <v>3</v>
      </c>
      <c r="B4" s="20">
        <v>41061</v>
      </c>
      <c r="C4" s="3">
        <v>293.5</v>
      </c>
      <c r="D4" s="3"/>
      <c r="E4" s="3"/>
      <c r="F4" s="3">
        <v>1051.23</v>
      </c>
      <c r="G4" s="6">
        <f>400</f>
        <v>400</v>
      </c>
      <c r="H4" s="6">
        <f>SUMPRODUCT(N([TRADE] &lt;= Tabela1[[#This Row],[TRADE]]), [APORTE]) + SUMPRODUCT(N([TRADE] &lt;= Tabela1[[#This Row],[TRADE]]), [APORTE RF])</f>
        <v>1200</v>
      </c>
      <c r="I4" s="6">
        <f>[MONTANTE] - SUMPRODUCT(N([TRADE] &lt;= Tabela1[[#This Row],[TRADE]]), [SAQUE]) + SUMPRODUCT(N([TRADE] &lt; Tabela1[[#This Row],[TRADE]]), [REINVESTIR])</f>
        <v>1273.3800000000001</v>
      </c>
      <c r="J4" s="6">
        <f>TRUNC([APLICAÇÃO]  * SETUP!$A$3, 2)</f>
        <v>0.47</v>
      </c>
      <c r="K4" s="6">
        <f>TRUNC([APLICAÇÃO]  * SETUP!$B$3, 2)</f>
        <v>0.35</v>
      </c>
      <c r="L4" s="6">
        <f>TRUNC([APLICAÇÃO]  * SETUP!$C$3, 2)</f>
        <v>0.88</v>
      </c>
      <c r="M4" s="6">
        <f>TRUNC(SETUP!$G$3  * SETUP!$H$3, 2)</f>
        <v>0.28999999999999998</v>
      </c>
      <c r="N4" s="6">
        <f>ROUND(SETUP!$G$3 * SETUP!$I$3, 2)</f>
        <v>0.57999999999999996</v>
      </c>
      <c r="O4" s="6">
        <f>SETUP!$G$3 + SUM(Tabela1[[#This Row],[EMOL CP]]:Tabela1[[#This Row],[OUTRAS CP]])</f>
        <v>17.47</v>
      </c>
      <c r="P4" s="6">
        <f>TRUNC([APLICAÇÃO] * 2  * SETUP!$A$3, 2)</f>
        <v>0.94</v>
      </c>
      <c r="Q4" s="6">
        <f>TRUNC([APLICAÇÃO] * 2  * SETUP!$B$3, 2)</f>
        <v>0.7</v>
      </c>
      <c r="R4" s="6">
        <f>TRUNC([APLICAÇÃO] * 2  * SETUP!$C$3, 2)</f>
        <v>1.76</v>
      </c>
      <c r="S4" s="6">
        <f>TRUNC(SETUP!$G$3  * SETUP!$H$3, 2)</f>
        <v>0.28999999999999998</v>
      </c>
      <c r="T4" s="6">
        <f>ROUND(SETUP!$G$3 * SETUP!$I$3, 2)</f>
        <v>0.57999999999999996</v>
      </c>
      <c r="U4" s="6">
        <f>SETUP!$G$3 + SUM(Tabela1[[#This Row],[EMOL VD]]:Tabela1[[#This Row],[OUTRAS VD]])</f>
        <v>19.170000000000002</v>
      </c>
      <c r="V4" s="6">
        <f>((([APLICAÇÃO] * 2) - [TAXA VD]) - ([APLICAÇÃO] + [TAXA CP])) * 0.85</f>
        <v>1051.229</v>
      </c>
      <c r="W4" s="14">
        <f>[APLICAÇÃO] - (ROUND([RENDA FIXA] * 0.1,2))</f>
        <v>1244.0300000000002</v>
      </c>
      <c r="X4" s="4">
        <f>Tabela1[[#This Row],[PERDA MAX]]/Tabela1[[#This Row],[APLICAÇÃO]]</f>
        <v>0.97695110650395023</v>
      </c>
      <c r="Y4" s="4">
        <f>IF([LUCRO] &lt; ([RENDA FIXA]/2), 0.8, 0.8)</f>
        <v>0.8</v>
      </c>
      <c r="Z4" s="6">
        <f>IF([LUCRO] &lt; 0, 0, ROUND([LUCRO]*[NO BOLSO], 2))</f>
        <v>840.98</v>
      </c>
      <c r="AA4" s="6">
        <f>[LUCRO]-[PROTEÇÃO MÊS]</f>
        <v>210.25</v>
      </c>
      <c r="AB4" s="6">
        <f>[RENDA FIXA] + [PROTEÇÃO MÊS] - [APORTE RF]</f>
        <v>1134.48</v>
      </c>
      <c r="AC4" s="6">
        <f>[TOT RF] + [REINVESTIR] + [APLICAÇÃO]</f>
        <v>2618.11</v>
      </c>
    </row>
    <row r="5" spans="1:29">
      <c r="A5" s="1">
        <v>4</v>
      </c>
      <c r="B5" s="20">
        <v>41091</v>
      </c>
      <c r="C5" s="3">
        <v>1134.48</v>
      </c>
      <c r="D5" s="3"/>
      <c r="E5" s="3"/>
      <c r="F5" s="3">
        <v>1567.88</v>
      </c>
      <c r="G5" s="6">
        <f>400</f>
        <v>400</v>
      </c>
      <c r="H5" s="6">
        <f>SUMPRODUCT(N([TRADE] &lt;= Tabela1[[#This Row],[TRADE]]), [APORTE]) + SUMPRODUCT(N([TRADE] &lt;= Tabela1[[#This Row],[TRADE]]), [APORTE RF])</f>
        <v>1600</v>
      </c>
      <c r="I5" s="6">
        <f>[MONTANTE] - SUMPRODUCT(N([TRADE] &lt;= Tabela1[[#This Row],[TRADE]]), [SAQUE]) + SUMPRODUCT(N([TRADE] &lt; Tabela1[[#This Row],[TRADE]]), [REINVESTIR])</f>
        <v>1883.63</v>
      </c>
      <c r="J5" s="6">
        <f>TRUNC([APLICAÇÃO]  * SETUP!$A$3, 2)</f>
        <v>0.69</v>
      </c>
      <c r="K5" s="6">
        <f>TRUNC([APLICAÇÃO]  * SETUP!$B$3, 2)</f>
        <v>0.51</v>
      </c>
      <c r="L5" s="6">
        <f>TRUNC([APLICAÇÃO]  * SETUP!$C$3, 2)</f>
        <v>1.3</v>
      </c>
      <c r="M5" s="6">
        <f>TRUNC(SETUP!$G$3  * SETUP!$H$3, 2)</f>
        <v>0.28999999999999998</v>
      </c>
      <c r="N5" s="6">
        <f>ROUND(SETUP!$G$3 * SETUP!$I$3, 2)</f>
        <v>0.57999999999999996</v>
      </c>
      <c r="O5" s="6">
        <f>SETUP!$G$3 + SUM(Tabela1[[#This Row],[EMOL CP]]:Tabela1[[#This Row],[OUTRAS CP]])</f>
        <v>18.27</v>
      </c>
      <c r="P5" s="6">
        <f>TRUNC([APLICAÇÃO] * 2  * SETUP!$A$3, 2)</f>
        <v>1.39</v>
      </c>
      <c r="Q5" s="6">
        <f>TRUNC([APLICAÇÃO] * 2  * SETUP!$B$3, 2)</f>
        <v>1.03</v>
      </c>
      <c r="R5" s="6">
        <f>TRUNC([APLICAÇÃO] * 2  * SETUP!$C$3, 2)</f>
        <v>2.61</v>
      </c>
      <c r="S5" s="6">
        <f>TRUNC(SETUP!$G$3  * SETUP!$H$3, 2)</f>
        <v>0.28999999999999998</v>
      </c>
      <c r="T5" s="6">
        <f>ROUND(SETUP!$G$3 * SETUP!$I$3, 2)</f>
        <v>0.57999999999999996</v>
      </c>
      <c r="U5" s="6">
        <f>SETUP!$G$3 + SUM(Tabela1[[#This Row],[EMOL VD]]:Tabela1[[#This Row],[OUTRAS VD]])</f>
        <v>20.8</v>
      </c>
      <c r="V5" s="6">
        <f>((([APLICAÇÃO] * 2) - [TAXA VD]) - ([APLICAÇÃO] + [TAXA CP])) * 0.85</f>
        <v>1567.876</v>
      </c>
      <c r="W5" s="14">
        <f>[APLICAÇÃO] - (ROUND([RENDA FIXA] * 0.1,2))</f>
        <v>1770.18</v>
      </c>
      <c r="X5" s="4">
        <f>Tabela1[[#This Row],[PERDA MAX]]/Tabela1[[#This Row],[APLICAÇÃO]]</f>
        <v>0.9397705494178793</v>
      </c>
      <c r="Y5" s="4">
        <f>IF([LUCRO] &lt; ([RENDA FIXA]/2), 0.8, 0.8)</f>
        <v>0.8</v>
      </c>
      <c r="Z5" s="6">
        <f>IF([LUCRO] &lt; 0, 0, ROUND([LUCRO]*[NO BOLSO], 2))</f>
        <v>1254.3</v>
      </c>
      <c r="AA5" s="6">
        <f>[LUCRO]-[PROTEÇÃO MÊS]</f>
        <v>313.58000000000015</v>
      </c>
      <c r="AB5" s="6">
        <f>[RENDA FIXA] + [PROTEÇÃO MÊS] - [APORTE RF]</f>
        <v>2388.7799999999997</v>
      </c>
      <c r="AC5" s="6">
        <f>[TOT RF] + [REINVESTIR] + [APLICAÇÃO]</f>
        <v>4585.99</v>
      </c>
    </row>
    <row r="6" spans="1:29">
      <c r="A6" s="1">
        <v>5</v>
      </c>
      <c r="B6" s="20">
        <v>41122</v>
      </c>
      <c r="C6" s="3">
        <v>2388.7800000000002</v>
      </c>
      <c r="D6" s="3"/>
      <c r="E6" s="3"/>
      <c r="F6" s="3">
        <v>2201.61</v>
      </c>
      <c r="G6" s="6">
        <f>435</f>
        <v>435</v>
      </c>
      <c r="H6" s="6">
        <f>SUMPRODUCT(N([TRADE] &lt;= Tabela1[[#This Row],[TRADE]]), [APORTE]) + SUMPRODUCT(N([TRADE] &lt;= Tabela1[[#This Row],[TRADE]]), [APORTE RF])</f>
        <v>2035</v>
      </c>
      <c r="I6" s="6">
        <f>[MONTANTE] - SUMPRODUCT(N([TRADE] &lt;= Tabela1[[#This Row],[TRADE]]), [SAQUE]) + SUMPRODUCT(N([TRADE] &lt; Tabela1[[#This Row],[TRADE]]), [REINVESTIR])</f>
        <v>2632.21</v>
      </c>
      <c r="J6" s="6">
        <f>TRUNC([APLICAÇÃO]  * SETUP!$A$3, 2)</f>
        <v>0.97</v>
      </c>
      <c r="K6" s="6">
        <f>TRUNC([APLICAÇÃO]  * SETUP!$B$3, 2)</f>
        <v>0.72</v>
      </c>
      <c r="L6" s="6">
        <f>TRUNC([APLICAÇÃO]  * SETUP!$C$3, 2)</f>
        <v>1.82</v>
      </c>
      <c r="M6" s="6">
        <f>TRUNC(SETUP!$G$3  * SETUP!$H$3, 2)</f>
        <v>0.28999999999999998</v>
      </c>
      <c r="N6" s="6">
        <f>ROUND(SETUP!$G$3 * SETUP!$I$3, 2)</f>
        <v>0.57999999999999996</v>
      </c>
      <c r="O6" s="6">
        <f>SETUP!$G$3 + SUM(Tabela1[[#This Row],[EMOL CP]]:Tabela1[[#This Row],[OUTRAS CP]])</f>
        <v>19.28</v>
      </c>
      <c r="P6" s="6">
        <f>TRUNC([APLICAÇÃO] * 2  * SETUP!$A$3, 2)</f>
        <v>1.94</v>
      </c>
      <c r="Q6" s="6">
        <f>TRUNC([APLICAÇÃO] * 2  * SETUP!$B$3, 2)</f>
        <v>1.44</v>
      </c>
      <c r="R6" s="6">
        <f>TRUNC([APLICAÇÃO] * 2  * SETUP!$C$3, 2)</f>
        <v>3.65</v>
      </c>
      <c r="S6" s="6">
        <f>TRUNC(SETUP!$G$3  * SETUP!$H$3, 2)</f>
        <v>0.28999999999999998</v>
      </c>
      <c r="T6" s="6">
        <f>ROUND(SETUP!$G$3 * SETUP!$I$3, 2)</f>
        <v>0.57999999999999996</v>
      </c>
      <c r="U6" s="6">
        <f>SETUP!$G$3 + SUM(Tabela1[[#This Row],[EMOL VD]]:Tabela1[[#This Row],[OUTRAS VD]])</f>
        <v>22.8</v>
      </c>
      <c r="V6" s="6">
        <f>((([APLICAÇÃO] * 2) - [TAXA VD]) - ([APLICAÇÃO] + [TAXA CP])) * 0.85</f>
        <v>2201.6104999999998</v>
      </c>
      <c r="W6" s="14">
        <f>[APLICAÇÃO] - (ROUND([RENDA FIXA] * 0.1,2))</f>
        <v>2393.33</v>
      </c>
      <c r="X6" s="4">
        <f>Tabela1[[#This Row],[PERDA MAX]]/Tabela1[[#This Row],[APLICAÇÃO]]</f>
        <v>0.90924736248247662</v>
      </c>
      <c r="Y6" s="15">
        <f>IF([LUCRO] &lt; ([RENDA FIXA]/2), 0.8, 0.8)</f>
        <v>0.8</v>
      </c>
      <c r="Z6" s="6">
        <f>IF([LUCRO] &lt; 0, 0, ROUND([LUCRO]*[NO BOLSO], 2))</f>
        <v>1761.29</v>
      </c>
      <c r="AA6" s="6">
        <f>[LUCRO]-[PROTEÇÃO MÊS]</f>
        <v>440.32000000000016</v>
      </c>
      <c r="AB6" s="6">
        <f>[RENDA FIXA] + [PROTEÇÃO MÊS] - [APORTE RF]</f>
        <v>4150.07</v>
      </c>
      <c r="AC6" s="6">
        <f>[TOT RF] + [REINVESTIR] + [APLICAÇÃO]</f>
        <v>7222.5999999999995</v>
      </c>
    </row>
    <row r="7" spans="1:29">
      <c r="A7" s="1">
        <v>6</v>
      </c>
      <c r="B7" s="20">
        <v>41153</v>
      </c>
      <c r="C7" s="3">
        <v>4150.07</v>
      </c>
      <c r="D7" s="3"/>
      <c r="E7" s="3"/>
      <c r="F7" s="3">
        <v>2942.64</v>
      </c>
      <c r="G7" s="6">
        <f>435</f>
        <v>435</v>
      </c>
      <c r="H7" s="6">
        <f>SUMPRODUCT(N([TRADE] &lt;= Tabela1[[#This Row],[TRADE]]), [APORTE]) + SUMPRODUCT(N([TRADE] &lt;= Tabela1[[#This Row],[TRADE]]), [APORTE RF])</f>
        <v>2470</v>
      </c>
      <c r="I7" s="6">
        <f>[MONTANTE] - SUMPRODUCT(N([TRADE] &lt;= Tabela1[[#This Row],[TRADE]]), [SAQUE]) + SUMPRODUCT(N([TRADE] &lt; Tabela1[[#This Row],[TRADE]]), [REINVESTIR])</f>
        <v>3507.53</v>
      </c>
      <c r="J7" s="6">
        <f>TRUNC([APLICAÇÃO]  * SETUP!$A$3, 2)</f>
        <v>1.29</v>
      </c>
      <c r="K7" s="6">
        <f>TRUNC([APLICAÇÃO]  * SETUP!$B$3, 2)</f>
        <v>0.96</v>
      </c>
      <c r="L7" s="6">
        <f>TRUNC([APLICAÇÃO]  * SETUP!$C$3, 2)</f>
        <v>2.4300000000000002</v>
      </c>
      <c r="M7" s="6">
        <f>TRUNC(SETUP!$G$3  * SETUP!$H$3, 2)</f>
        <v>0.28999999999999998</v>
      </c>
      <c r="N7" s="6">
        <f>ROUND(SETUP!$G$3 * SETUP!$I$3, 2)</f>
        <v>0.57999999999999996</v>
      </c>
      <c r="O7" s="6">
        <f>SETUP!$G$3 + SUM(Tabela1[[#This Row],[EMOL CP]]:Tabela1[[#This Row],[OUTRAS CP]])</f>
        <v>20.45</v>
      </c>
      <c r="P7" s="6">
        <f>TRUNC([APLICAÇÃO] * 2  * SETUP!$A$3, 2)</f>
        <v>2.59</v>
      </c>
      <c r="Q7" s="6">
        <f>TRUNC([APLICAÇÃO] * 2  * SETUP!$B$3, 2)</f>
        <v>1.92</v>
      </c>
      <c r="R7" s="6">
        <f>TRUNC([APLICAÇÃO] * 2  * SETUP!$C$3, 2)</f>
        <v>4.87</v>
      </c>
      <c r="S7" s="6">
        <f>TRUNC(SETUP!$G$3  * SETUP!$H$3, 2)</f>
        <v>0.28999999999999998</v>
      </c>
      <c r="T7" s="6">
        <f>ROUND(SETUP!$G$3 * SETUP!$I$3, 2)</f>
        <v>0.57999999999999996</v>
      </c>
      <c r="U7" s="6">
        <f>SETUP!$G$3 + SUM(Tabela1[[#This Row],[EMOL VD]]:Tabela1[[#This Row],[OUTRAS VD]])</f>
        <v>25.15</v>
      </c>
      <c r="V7" s="6">
        <f>((([APLICAÇÃO] * 2) - [TAXA VD]) - ([APLICAÇÃO] + [TAXA CP])) * 0.85</f>
        <v>2942.6405000000004</v>
      </c>
      <c r="W7" s="14">
        <f>[APLICAÇÃO] - (ROUND([RENDA FIXA] * 0.1,2))</f>
        <v>3092.5200000000004</v>
      </c>
      <c r="X7" s="4">
        <f>Tabela1[[#This Row],[PERDA MAX]]/Tabela1[[#This Row],[APLICAÇÃO]]</f>
        <v>0.88168027073182564</v>
      </c>
      <c r="Y7" s="15">
        <f>IF([LUCRO] &lt; ([RENDA FIXA]/2), 0.8, 0.8)</f>
        <v>0.8</v>
      </c>
      <c r="Z7" s="6">
        <f>IF([LUCRO] &lt; 0, 0, ROUND([LUCRO]*[NO BOLSO], 2))</f>
        <v>2354.11</v>
      </c>
      <c r="AA7" s="6">
        <f>[LUCRO]-[PROTEÇÃO MÊS]</f>
        <v>588.52999999999975</v>
      </c>
      <c r="AB7" s="6">
        <f>[RENDA FIXA] + [PROTEÇÃO MÊS] - [APORTE RF]</f>
        <v>6504.18</v>
      </c>
      <c r="AC7" s="6">
        <f>[TOT RF] + [REINVESTIR] + [APLICAÇÃO]</f>
        <v>10600.24</v>
      </c>
    </row>
    <row r="8" spans="1:29">
      <c r="A8" s="1">
        <v>7</v>
      </c>
      <c r="B8" s="20">
        <v>41183</v>
      </c>
      <c r="C8" s="3">
        <v>6504.18</v>
      </c>
      <c r="D8" s="3"/>
      <c r="E8" s="3"/>
      <c r="F8" s="3">
        <v>3809.14</v>
      </c>
      <c r="G8" s="6">
        <f>435</f>
        <v>435</v>
      </c>
      <c r="H8" s="6">
        <f>SUMPRODUCT(N([TRADE] &lt;= Tabela1[[#This Row],[TRADE]]), [APORTE]) + SUMPRODUCT(N([TRADE] &lt;= Tabela1[[#This Row],[TRADE]]), [APORTE RF])</f>
        <v>2905</v>
      </c>
      <c r="I8" s="6">
        <f>[MONTANTE] - SUMPRODUCT(N([TRADE] &lt;= Tabela1[[#This Row],[TRADE]]), [SAQUE]) + SUMPRODUCT(N([TRADE] &lt; Tabela1[[#This Row],[TRADE]]), [REINVESTIR])</f>
        <v>4531.0599999999995</v>
      </c>
      <c r="J8" s="6">
        <f>TRUNC([APLICAÇÃO]  * SETUP!$A$3, 2)</f>
        <v>1.67</v>
      </c>
      <c r="K8" s="6">
        <f>TRUNC([APLICAÇÃO]  * SETUP!$B$3, 2)</f>
        <v>1.24</v>
      </c>
      <c r="L8" s="6">
        <f>TRUNC([APLICAÇÃO]  * SETUP!$C$3, 2)</f>
        <v>3.14</v>
      </c>
      <c r="M8" s="6">
        <f>TRUNC(SETUP!$G$3  * SETUP!$H$3, 2)</f>
        <v>0.28999999999999998</v>
      </c>
      <c r="N8" s="6">
        <f>ROUND(SETUP!$G$3 * SETUP!$I$3, 2)</f>
        <v>0.57999999999999996</v>
      </c>
      <c r="O8" s="6">
        <f>SETUP!$G$3 + SUM(Tabela1[[#This Row],[EMOL CP]]:Tabela1[[#This Row],[OUTRAS CP]])</f>
        <v>21.82</v>
      </c>
      <c r="P8" s="6">
        <f>TRUNC([APLICAÇÃO] * 2  * SETUP!$A$3, 2)</f>
        <v>3.35</v>
      </c>
      <c r="Q8" s="6">
        <f>TRUNC([APLICAÇÃO] * 2  * SETUP!$B$3, 2)</f>
        <v>2.4900000000000002</v>
      </c>
      <c r="R8" s="6">
        <f>TRUNC([APLICAÇÃO] * 2  * SETUP!$C$3, 2)</f>
        <v>6.29</v>
      </c>
      <c r="S8" s="6">
        <f>TRUNC(SETUP!$G$3  * SETUP!$H$3, 2)</f>
        <v>0.28999999999999998</v>
      </c>
      <c r="T8" s="6">
        <f>ROUND(SETUP!$G$3 * SETUP!$I$3, 2)</f>
        <v>0.57999999999999996</v>
      </c>
      <c r="U8" s="6">
        <f>SETUP!$G$3 + SUM(Tabela1[[#This Row],[EMOL VD]]:Tabela1[[#This Row],[OUTRAS VD]])</f>
        <v>27.9</v>
      </c>
      <c r="V8" s="6">
        <f>((([APLICAÇÃO] * 2) - [TAXA VD]) - ([APLICAÇÃO] + [TAXA CP])) * 0.85</f>
        <v>3809.1390000000001</v>
      </c>
      <c r="W8" s="14">
        <f>[APLICAÇÃO] - (ROUND([RENDA FIXA] * 0.1,2))</f>
        <v>3880.6399999999994</v>
      </c>
      <c r="X8" s="4">
        <f>Tabela1[[#This Row],[PERDA MAX]]/Tabela1[[#This Row],[APLICAÇÃO]]</f>
        <v>0.85645301540919783</v>
      </c>
      <c r="Y8" s="15">
        <f>IF([LUCRO] &lt; ([RENDA FIXA]/2), 0.8, 0.8)</f>
        <v>0.8</v>
      </c>
      <c r="Z8" s="6">
        <f>IF([LUCRO] &lt; 0, 0, ROUND([LUCRO]*[NO BOLSO], 2))</f>
        <v>3047.31</v>
      </c>
      <c r="AA8" s="6">
        <f>[LUCRO]-[PROTEÇÃO MÊS]</f>
        <v>761.82999999999993</v>
      </c>
      <c r="AB8" s="6">
        <f>[RENDA FIXA] + [PROTEÇÃO MÊS] - [APORTE RF]</f>
        <v>9551.49</v>
      </c>
      <c r="AC8" s="6">
        <f>[TOT RF] + [REINVESTIR] + [APLICAÇÃO]</f>
        <v>14844.38</v>
      </c>
    </row>
    <row r="9" spans="1:29">
      <c r="A9" s="1">
        <v>8</v>
      </c>
      <c r="B9" s="20">
        <v>41214</v>
      </c>
      <c r="C9" s="3">
        <v>9551.49</v>
      </c>
      <c r="D9" s="3"/>
      <c r="E9" s="3"/>
      <c r="F9" s="3">
        <v>5076.33</v>
      </c>
      <c r="G9" s="6">
        <f>735</f>
        <v>735</v>
      </c>
      <c r="H9" s="6">
        <f>SUMPRODUCT(N([TRADE] &lt;= Tabela1[[#This Row],[TRADE]]), [APORTE]) + SUMPRODUCT(N([TRADE] &lt;= Tabela1[[#This Row],[TRADE]]), [APORTE RF])</f>
        <v>3640</v>
      </c>
      <c r="I9" s="6">
        <f>[MONTANTE] - SUMPRODUCT(N([TRADE] &lt;= Tabela1[[#This Row],[TRADE]]), [SAQUE]) + SUMPRODUCT(N([TRADE] &lt; Tabela1[[#This Row],[TRADE]]), [REINVESTIR])</f>
        <v>6027.8899999999994</v>
      </c>
      <c r="J9" s="6">
        <f>TRUNC([APLICAÇÃO]  * SETUP!$A$3, 2)</f>
        <v>2.23</v>
      </c>
      <c r="K9" s="6">
        <f>TRUNC([APLICAÇÃO]  * SETUP!$B$3, 2)</f>
        <v>1.65</v>
      </c>
      <c r="L9" s="6">
        <f>TRUNC([APLICAÇÃO]  * SETUP!$C$3, 2)</f>
        <v>4.18</v>
      </c>
      <c r="M9" s="6">
        <f>TRUNC(SETUP!$G$3  * SETUP!$H$3, 2)</f>
        <v>0.28999999999999998</v>
      </c>
      <c r="N9" s="6">
        <f>ROUND(SETUP!$G$3 * SETUP!$I$3, 2)</f>
        <v>0.57999999999999996</v>
      </c>
      <c r="O9" s="6">
        <f>SETUP!$G$3 + SUM(Tabela1[[#This Row],[EMOL CP]]:Tabela1[[#This Row],[OUTRAS CP]])</f>
        <v>23.83</v>
      </c>
      <c r="P9" s="6">
        <f>TRUNC([APLICAÇÃO] * 2  * SETUP!$A$3, 2)</f>
        <v>4.46</v>
      </c>
      <c r="Q9" s="6">
        <f>TRUNC([APLICAÇÃO] * 2  * SETUP!$B$3, 2)</f>
        <v>3.31</v>
      </c>
      <c r="R9" s="6">
        <f>TRUNC([APLICAÇÃO] * 2  * SETUP!$C$3, 2)</f>
        <v>8.3699999999999992</v>
      </c>
      <c r="S9" s="6">
        <f>TRUNC(SETUP!$G$3  * SETUP!$H$3, 2)</f>
        <v>0.28999999999999998</v>
      </c>
      <c r="T9" s="6">
        <f>ROUND(SETUP!$G$3 * SETUP!$I$3, 2)</f>
        <v>0.57999999999999996</v>
      </c>
      <c r="U9" s="6">
        <f>SETUP!$G$3 + SUM(Tabela1[[#This Row],[EMOL VD]]:Tabela1[[#This Row],[OUTRAS VD]])</f>
        <v>31.909999999999997</v>
      </c>
      <c r="V9" s="6">
        <f>((([APLICAÇÃO] * 2) - [TAXA VD]) - ([APLICAÇÃO] + [TAXA CP])) * 0.85</f>
        <v>5076.3274999999994</v>
      </c>
      <c r="W9" s="14">
        <f>[APLICAÇÃO] - (ROUND([RENDA FIXA] * 0.1,2))</f>
        <v>5072.74</v>
      </c>
      <c r="X9" s="4">
        <f>Tabela1[[#This Row],[PERDA MAX]]/Tabela1[[#This Row],[APLICAÇÃO]]</f>
        <v>0.84154488552379025</v>
      </c>
      <c r="Y9" s="15">
        <f>IF([LUCRO] &lt; ([RENDA FIXA]/2), 0.8, 0.8)</f>
        <v>0.8</v>
      </c>
      <c r="Z9" s="6">
        <f>IF([LUCRO] &lt; 0, 0, ROUND([LUCRO]*[NO BOLSO], 2))</f>
        <v>4061.06</v>
      </c>
      <c r="AA9" s="6">
        <f>[LUCRO]-[PROTEÇÃO MÊS]</f>
        <v>1015.27</v>
      </c>
      <c r="AB9" s="6">
        <f>[RENDA FIXA] + [PROTEÇÃO MÊS] - [APORTE RF]</f>
        <v>13612.55</v>
      </c>
      <c r="AC9" s="6">
        <f>[TOT RF] + [REINVESTIR] + [APLICAÇÃO]</f>
        <v>20655.71</v>
      </c>
    </row>
    <row r="10" spans="1:29">
      <c r="A10" s="1">
        <v>9</v>
      </c>
      <c r="B10" s="20">
        <v>41244</v>
      </c>
      <c r="C10" s="3">
        <v>13612.55</v>
      </c>
      <c r="D10" s="3"/>
      <c r="E10" s="3"/>
      <c r="F10" s="3">
        <v>6558.08</v>
      </c>
      <c r="G10" s="6">
        <f>735</f>
        <v>735</v>
      </c>
      <c r="H10" s="6">
        <f>SUMPRODUCT(N([TRADE] &lt;= Tabela1[[#This Row],[TRADE]]), [APORTE]) + SUMPRODUCT(N([TRADE] &lt;= Tabela1[[#This Row],[TRADE]]), [APORTE RF])</f>
        <v>4375</v>
      </c>
      <c r="I10" s="6">
        <f>[MONTANTE] - SUMPRODUCT(N([TRADE] &lt;= Tabela1[[#This Row],[TRADE]]), [SAQUE]) + SUMPRODUCT(N([TRADE] &lt; Tabela1[[#This Row],[TRADE]]), [REINVESTIR])</f>
        <v>7778.16</v>
      </c>
      <c r="J10" s="6">
        <f>TRUNC([APLICAÇÃO]  * SETUP!$A$3, 2)</f>
        <v>2.87</v>
      </c>
      <c r="K10" s="6">
        <f>TRUNC([APLICAÇÃO]  * SETUP!$B$3, 2)</f>
        <v>2.13</v>
      </c>
      <c r="L10" s="6">
        <f>TRUNC([APLICAÇÃO]  * SETUP!$C$3, 2)</f>
        <v>5.4</v>
      </c>
      <c r="M10" s="6">
        <f>TRUNC(SETUP!$G$3  * SETUP!$H$3, 2)</f>
        <v>0.28999999999999998</v>
      </c>
      <c r="N10" s="6">
        <f>ROUND(SETUP!$G$3 * SETUP!$I$3, 2)</f>
        <v>0.57999999999999996</v>
      </c>
      <c r="O10" s="6">
        <f>SETUP!$G$3 + SUM(Tabela1[[#This Row],[EMOL CP]]:Tabela1[[#This Row],[OUTRAS CP]])</f>
        <v>26.17</v>
      </c>
      <c r="P10" s="6">
        <f>TRUNC([APLICAÇÃO] * 2  * SETUP!$A$3, 2)</f>
        <v>5.75</v>
      </c>
      <c r="Q10" s="6">
        <f>TRUNC([APLICAÇÃO] * 2  * SETUP!$B$3, 2)</f>
        <v>4.2699999999999996</v>
      </c>
      <c r="R10" s="6">
        <f>TRUNC([APLICAÇÃO] * 2  * SETUP!$C$3, 2)</f>
        <v>10.81</v>
      </c>
      <c r="S10" s="6">
        <f>TRUNC(SETUP!$G$3  * SETUP!$H$3, 2)</f>
        <v>0.28999999999999998</v>
      </c>
      <c r="T10" s="6">
        <f>ROUND(SETUP!$G$3 * SETUP!$I$3, 2)</f>
        <v>0.57999999999999996</v>
      </c>
      <c r="U10" s="6">
        <f>SETUP!$G$3 + SUM(Tabela1[[#This Row],[EMOL VD]]:Tabela1[[#This Row],[OUTRAS VD]])</f>
        <v>36.599999999999994</v>
      </c>
      <c r="V10" s="6">
        <f>((([APLICAÇÃO] * 2) - [TAXA VD]) - ([APLICAÇÃO] + [TAXA CP])) * 0.85</f>
        <v>6558.0814999999993</v>
      </c>
      <c r="W10" s="14">
        <f>[APLICAÇÃO] - (ROUND([RENDA FIXA] * 0.1,2))</f>
        <v>6416.9</v>
      </c>
      <c r="X10" s="4">
        <f>Tabela1[[#This Row],[PERDA MAX]]/Tabela1[[#This Row],[APLICAÇÃO]]</f>
        <v>0.82498945766093779</v>
      </c>
      <c r="Y10" s="15">
        <f>IF([LUCRO] &lt; ([RENDA FIXA]/2), 0.8, 0.8)</f>
        <v>0.8</v>
      </c>
      <c r="Z10" s="6">
        <f>IF([LUCRO] &lt; 0, 0, ROUND([LUCRO]*[NO BOLSO], 2))</f>
        <v>5246.46</v>
      </c>
      <c r="AA10" s="6">
        <f>[LUCRO]-[PROTEÇÃO MÊS]</f>
        <v>1311.62</v>
      </c>
      <c r="AB10" s="6">
        <f>[RENDA FIXA] + [PROTEÇÃO MÊS] - [APORTE RF]</f>
        <v>18859.009999999998</v>
      </c>
      <c r="AC10" s="6">
        <f>[TOT RF] + [REINVESTIR] + [APLICAÇÃO]</f>
        <v>27948.789999999997</v>
      </c>
    </row>
    <row r="11" spans="1:29">
      <c r="A11" s="1">
        <v>10</v>
      </c>
      <c r="B11" s="20">
        <v>41275</v>
      </c>
      <c r="C11" s="3">
        <v>18859.009999999998</v>
      </c>
      <c r="D11" s="3"/>
      <c r="E11" s="3"/>
      <c r="F11" s="3">
        <v>8290.7000000000007</v>
      </c>
      <c r="G11" s="6">
        <f>735</f>
        <v>735</v>
      </c>
      <c r="H11" s="6">
        <f>SUMPRODUCT(N([TRADE] &lt;= Tabela1[[#This Row],[TRADE]]), [APORTE]) + SUMPRODUCT(N([TRADE] &lt;= Tabela1[[#This Row],[TRADE]]), [APORTE RF])</f>
        <v>5110</v>
      </c>
      <c r="I11" s="6">
        <f>[MONTANTE] - SUMPRODUCT(N([TRADE] &lt;= Tabela1[[#This Row],[TRADE]]), [SAQUE]) + SUMPRODUCT(N([TRADE] &lt; Tabela1[[#This Row],[TRADE]]), [REINVESTIR])</f>
        <v>9824.7799999999988</v>
      </c>
      <c r="J11" s="6">
        <f>TRUNC([APLICAÇÃO]  * SETUP!$A$3, 2)</f>
        <v>3.63</v>
      </c>
      <c r="K11" s="6">
        <f>TRUNC([APLICAÇÃO]  * SETUP!$B$3, 2)</f>
        <v>2.7</v>
      </c>
      <c r="L11" s="6">
        <f>TRUNC([APLICAÇÃO]  * SETUP!$C$3, 2)</f>
        <v>6.82</v>
      </c>
      <c r="M11" s="6">
        <f>TRUNC(SETUP!$G$3  * SETUP!$H$3, 2)</f>
        <v>0.28999999999999998</v>
      </c>
      <c r="N11" s="6">
        <f>ROUND(SETUP!$G$3 * SETUP!$I$3, 2)</f>
        <v>0.57999999999999996</v>
      </c>
      <c r="O11" s="6">
        <f>SETUP!$G$3 + SUM(Tabela1[[#This Row],[EMOL CP]]:Tabela1[[#This Row],[OUTRAS CP]])</f>
        <v>28.92</v>
      </c>
      <c r="P11" s="6">
        <f>TRUNC([APLICAÇÃO] * 2  * SETUP!$A$3, 2)</f>
        <v>7.27</v>
      </c>
      <c r="Q11" s="6">
        <f>TRUNC([APLICAÇÃO] * 2  * SETUP!$B$3, 2)</f>
        <v>5.4</v>
      </c>
      <c r="R11" s="6">
        <f>TRUNC([APLICAÇÃO] * 2  * SETUP!$C$3, 2)</f>
        <v>13.65</v>
      </c>
      <c r="S11" s="6">
        <f>TRUNC(SETUP!$G$3  * SETUP!$H$3, 2)</f>
        <v>0.28999999999999998</v>
      </c>
      <c r="T11" s="6">
        <f>ROUND(SETUP!$G$3 * SETUP!$I$3, 2)</f>
        <v>0.57999999999999996</v>
      </c>
      <c r="U11" s="6">
        <f>SETUP!$G$3 + SUM(Tabela1[[#This Row],[EMOL VD]]:Tabela1[[#This Row],[OUTRAS VD]])</f>
        <v>42.089999999999996</v>
      </c>
      <c r="V11" s="6">
        <f>((([APLICAÇÃO] * 2) - [TAXA VD]) - ([APLICAÇÃO] + [TAXA CP])) * 0.85</f>
        <v>8290.704499999998</v>
      </c>
      <c r="W11" s="14">
        <f>[APLICAÇÃO] - (ROUND([RENDA FIXA] * 0.1,2))</f>
        <v>7938.8799999999992</v>
      </c>
      <c r="X11" s="4">
        <f>Tabela1[[#This Row],[PERDA MAX]]/Tabela1[[#This Row],[APLICAÇÃO]]</f>
        <v>0.80804659239189069</v>
      </c>
      <c r="Y11" s="15">
        <f>IF([LUCRO] &lt; ([RENDA FIXA]/2), 0.8, 0.8)</f>
        <v>0.8</v>
      </c>
      <c r="Z11" s="6">
        <f>IF([LUCRO] &lt; 0, 0, ROUND([LUCRO]*[NO BOLSO], 2))</f>
        <v>6632.56</v>
      </c>
      <c r="AA11" s="6">
        <f>[LUCRO]-[PROTEÇÃO MÊS]</f>
        <v>1658.1400000000003</v>
      </c>
      <c r="AB11" s="6">
        <f>[RENDA FIXA] + [PROTEÇÃO MÊS] - [APORTE RF]</f>
        <v>25491.57</v>
      </c>
      <c r="AC11" s="6">
        <f>[TOT RF] + [REINVESTIR] + [APLICAÇÃO]</f>
        <v>36974.49</v>
      </c>
    </row>
    <row r="12" spans="1:29">
      <c r="A12" s="1">
        <v>11</v>
      </c>
      <c r="B12" s="20">
        <v>41306</v>
      </c>
      <c r="C12" s="3">
        <v>25491.57</v>
      </c>
      <c r="D12" s="3"/>
      <c r="E12" s="3"/>
      <c r="F12" s="3">
        <v>10316.700000000001</v>
      </c>
      <c r="G12" s="6">
        <f>735</f>
        <v>735</v>
      </c>
      <c r="H12" s="6">
        <f>SUMPRODUCT(N([TRADE] &lt;= Tabela1[[#This Row],[TRADE]]), [APORTE]) + SUMPRODUCT(N([TRADE] &lt;= Tabela1[[#This Row],[TRADE]]), [APORTE RF])</f>
        <v>5845</v>
      </c>
      <c r="I12" s="6">
        <f>[MONTANTE] - SUMPRODUCT(N([TRADE] &lt;= Tabela1[[#This Row],[TRADE]]), [SAQUE]) + SUMPRODUCT(N([TRADE] &lt; Tabela1[[#This Row],[TRADE]]), [REINVESTIR])</f>
        <v>12217.92</v>
      </c>
      <c r="J12" s="6">
        <f>TRUNC([APLICAÇÃO]  * SETUP!$A$3, 2)</f>
        <v>4.5199999999999996</v>
      </c>
      <c r="K12" s="6">
        <f>TRUNC([APLICAÇÃO]  * SETUP!$B$3, 2)</f>
        <v>3.35</v>
      </c>
      <c r="L12" s="6">
        <f>TRUNC([APLICAÇÃO]  * SETUP!$C$3, 2)</f>
        <v>8.49</v>
      </c>
      <c r="M12" s="6">
        <f>TRUNC(SETUP!$G$3  * SETUP!$H$3, 2)</f>
        <v>0.28999999999999998</v>
      </c>
      <c r="N12" s="6">
        <f>ROUND(SETUP!$G$3 * SETUP!$I$3, 2)</f>
        <v>0.57999999999999996</v>
      </c>
      <c r="O12" s="6">
        <f>SETUP!$G$3 + SUM(Tabela1[[#This Row],[EMOL CP]]:Tabela1[[#This Row],[OUTRAS CP]])</f>
        <v>32.129999999999995</v>
      </c>
      <c r="P12" s="6">
        <f>TRUNC([APLICAÇÃO] * 2  * SETUP!$A$3, 2)</f>
        <v>9.0399999999999991</v>
      </c>
      <c r="Q12" s="6">
        <f>TRUNC([APLICAÇÃO] * 2  * SETUP!$B$3, 2)</f>
        <v>6.71</v>
      </c>
      <c r="R12" s="6">
        <f>TRUNC([APLICAÇÃO] * 2  * SETUP!$C$3, 2)</f>
        <v>16.98</v>
      </c>
      <c r="S12" s="6">
        <f>TRUNC(SETUP!$G$3  * SETUP!$H$3, 2)</f>
        <v>0.28999999999999998</v>
      </c>
      <c r="T12" s="6">
        <f>ROUND(SETUP!$G$3 * SETUP!$I$3, 2)</f>
        <v>0.57999999999999996</v>
      </c>
      <c r="U12" s="6">
        <f>SETUP!$G$3 + SUM(Tabela1[[#This Row],[EMOL VD]]:Tabela1[[#This Row],[OUTRAS VD]])</f>
        <v>48.5</v>
      </c>
      <c r="V12" s="6">
        <f>((([APLICAÇÃO] * 2) - [TAXA VD]) - ([APLICAÇÃO] + [TAXA CP])) * 0.85</f>
        <v>10316.6965</v>
      </c>
      <c r="W12" s="14">
        <f>[APLICAÇÃO] - (ROUND([RENDA FIXA] * 0.1,2))</f>
        <v>9668.76</v>
      </c>
      <c r="X12" s="4">
        <f>Tabela1[[#This Row],[PERDA MAX]]/Tabela1[[#This Row],[APLICAÇÃO]]</f>
        <v>0.7913589219768995</v>
      </c>
      <c r="Y12" s="15">
        <f>IF([LUCRO] &lt; ([RENDA FIXA]/2), 0.8, 0.8)</f>
        <v>0.8</v>
      </c>
      <c r="Z12" s="6">
        <f>IF([LUCRO] &lt; 0, 0, ROUND([LUCRO]*[NO BOLSO], 2))</f>
        <v>8253.36</v>
      </c>
      <c r="AA12" s="6">
        <f>[LUCRO]-[PROTEÇÃO MÊS]</f>
        <v>2063.34</v>
      </c>
      <c r="AB12" s="6">
        <f>[RENDA FIXA] + [PROTEÇÃO MÊS] - [APORTE RF]</f>
        <v>33744.93</v>
      </c>
      <c r="AC12" s="6">
        <f>[TOT RF] + [REINVESTIR] + [APLICAÇÃO]</f>
        <v>48026.19</v>
      </c>
    </row>
    <row r="13" spans="1:29">
      <c r="A13" s="1">
        <v>12</v>
      </c>
      <c r="B13" s="20">
        <v>41334</v>
      </c>
      <c r="C13" s="3">
        <v>33744.93</v>
      </c>
      <c r="D13" s="3"/>
      <c r="E13" s="3"/>
      <c r="F13" s="3">
        <v>12685.73</v>
      </c>
      <c r="G13" s="6">
        <f>735</f>
        <v>735</v>
      </c>
      <c r="H13" s="6">
        <f>SUMPRODUCT(N([TRADE] &lt;= Tabela1[[#This Row],[TRADE]]), [APORTE]) + SUMPRODUCT(N([TRADE] &lt;= Tabela1[[#This Row],[TRADE]]), [APORTE RF])</f>
        <v>6580</v>
      </c>
      <c r="I13" s="6">
        <f>[MONTANTE] - SUMPRODUCT(N([TRADE] &lt;= Tabela1[[#This Row],[TRADE]]), [SAQUE]) + SUMPRODUCT(N([TRADE] &lt; Tabela1[[#This Row],[TRADE]]), [REINVESTIR])</f>
        <v>15016.26</v>
      </c>
      <c r="J13" s="6">
        <f>TRUNC([APLICAÇÃO]  * SETUP!$A$3, 2)</f>
        <v>5.55</v>
      </c>
      <c r="K13" s="6">
        <f>TRUNC([APLICAÇÃO]  * SETUP!$B$3, 2)</f>
        <v>4.12</v>
      </c>
      <c r="L13" s="6">
        <f>TRUNC([APLICAÇÃO]  * SETUP!$C$3, 2)</f>
        <v>10.43</v>
      </c>
      <c r="M13" s="6">
        <f>TRUNC(SETUP!$G$3  * SETUP!$H$3, 2)</f>
        <v>0.28999999999999998</v>
      </c>
      <c r="N13" s="6">
        <f>ROUND(SETUP!$G$3 * SETUP!$I$3, 2)</f>
        <v>0.57999999999999996</v>
      </c>
      <c r="O13" s="6">
        <f>SETUP!$G$3 + SUM(Tabela1[[#This Row],[EMOL CP]]:Tabela1[[#This Row],[OUTRAS CP]])</f>
        <v>35.869999999999997</v>
      </c>
      <c r="P13" s="6">
        <f>TRUNC([APLICAÇÃO] * 2  * SETUP!$A$3, 2)</f>
        <v>11.11</v>
      </c>
      <c r="Q13" s="6">
        <f>TRUNC([APLICAÇÃO] * 2  * SETUP!$B$3, 2)</f>
        <v>8.25</v>
      </c>
      <c r="R13" s="6">
        <f>TRUNC([APLICAÇÃO] * 2  * SETUP!$C$3, 2)</f>
        <v>20.87</v>
      </c>
      <c r="S13" s="6">
        <f>TRUNC(SETUP!$G$3  * SETUP!$H$3, 2)</f>
        <v>0.28999999999999998</v>
      </c>
      <c r="T13" s="6">
        <f>ROUND(SETUP!$G$3 * SETUP!$I$3, 2)</f>
        <v>0.57999999999999996</v>
      </c>
      <c r="U13" s="6">
        <f>SETUP!$G$3 + SUM(Tabela1[[#This Row],[EMOL VD]]:Tabela1[[#This Row],[OUTRAS VD]])</f>
        <v>56</v>
      </c>
      <c r="V13" s="6">
        <f>((([APLICAÇÃO] * 2) - [TAXA VD]) - ([APLICAÇÃO] + [TAXA CP])) * 0.85</f>
        <v>12685.7315</v>
      </c>
      <c r="W13" s="14">
        <f>[APLICAÇÃO] - (ROUND([RENDA FIXA] * 0.1,2))</f>
        <v>11641.77</v>
      </c>
      <c r="X13" s="4">
        <f>Tabela1[[#This Row],[PERDA MAX]]/Tabela1[[#This Row],[APLICAÇÃO]]</f>
        <v>0.77527759908259453</v>
      </c>
      <c r="Y13" s="15">
        <f>IF([LUCRO] &lt; ([RENDA FIXA]/2), 0.8, 0.8)</f>
        <v>0.8</v>
      </c>
      <c r="Z13" s="6">
        <f>IF([LUCRO] &lt; 0, 0, ROUND([LUCRO]*[NO BOLSO], 2))</f>
        <v>10148.58</v>
      </c>
      <c r="AA13" s="6">
        <f>[LUCRO]-[PROTEÇÃO MÊS]</f>
        <v>2537.1499999999996</v>
      </c>
      <c r="AB13" s="6">
        <f>[RENDA FIXA] + [PROTEÇÃO MÊS] - [APORTE RF]</f>
        <v>43893.51</v>
      </c>
      <c r="AC13" s="6">
        <f>[TOT RF] + [REINVESTIR] + [APLICAÇÃO]</f>
        <v>61446.920000000006</v>
      </c>
    </row>
    <row r="14" spans="1:29">
      <c r="A14" s="1">
        <v>13</v>
      </c>
      <c r="B14" s="20">
        <v>41365</v>
      </c>
      <c r="C14" s="3">
        <v>43893.51</v>
      </c>
      <c r="D14" s="3"/>
      <c r="E14" s="3"/>
      <c r="F14" s="3">
        <v>15680.22</v>
      </c>
      <c r="G14" s="6">
        <f>1000</f>
        <v>1000</v>
      </c>
      <c r="H14" s="6">
        <f>SUMPRODUCT(N([TRADE] &lt;= Tabela1[[#This Row],[TRADE]]), [APORTE]) + SUMPRODUCT(N([TRADE] &lt;= Tabela1[[#This Row],[TRADE]]), [APORTE RF])</f>
        <v>7580</v>
      </c>
      <c r="I14" s="6">
        <f>[MONTANTE] - SUMPRODUCT(N([TRADE] &lt;= Tabela1[[#This Row],[TRADE]]), [SAQUE]) + SUMPRODUCT(N([TRADE] &lt; Tabela1[[#This Row],[TRADE]]), [REINVESTIR])</f>
        <v>18553.41</v>
      </c>
      <c r="J14" s="6">
        <f>TRUNC([APLICAÇÃO]  * SETUP!$A$3, 2)</f>
        <v>6.86</v>
      </c>
      <c r="K14" s="6">
        <f>TRUNC([APLICAÇÃO]  * SETUP!$B$3, 2)</f>
        <v>5.0999999999999996</v>
      </c>
      <c r="L14" s="6">
        <f>TRUNC([APLICAÇÃO]  * SETUP!$C$3, 2)</f>
        <v>12.89</v>
      </c>
      <c r="M14" s="6">
        <f>TRUNC(SETUP!$G$3  * SETUP!$H$3, 2)</f>
        <v>0.28999999999999998</v>
      </c>
      <c r="N14" s="6">
        <f>ROUND(SETUP!$G$3 * SETUP!$I$3, 2)</f>
        <v>0.57999999999999996</v>
      </c>
      <c r="O14" s="6">
        <f>SETUP!$G$3 + SUM(Tabela1[[#This Row],[EMOL CP]]:Tabela1[[#This Row],[OUTRAS CP]])</f>
        <v>40.619999999999997</v>
      </c>
      <c r="P14" s="6">
        <f>TRUNC([APLICAÇÃO] * 2  * SETUP!$A$3, 2)</f>
        <v>13.72</v>
      </c>
      <c r="Q14" s="6">
        <f>TRUNC([APLICAÇÃO] * 2  * SETUP!$B$3, 2)</f>
        <v>10.199999999999999</v>
      </c>
      <c r="R14" s="6">
        <f>TRUNC([APLICAÇÃO] * 2  * SETUP!$C$3, 2)</f>
        <v>25.78</v>
      </c>
      <c r="S14" s="6">
        <f>TRUNC(SETUP!$G$3  * SETUP!$H$3, 2)</f>
        <v>0.28999999999999998</v>
      </c>
      <c r="T14" s="6">
        <f>ROUND(SETUP!$G$3 * SETUP!$I$3, 2)</f>
        <v>0.57999999999999996</v>
      </c>
      <c r="U14" s="6">
        <f>SETUP!$G$3 + SUM(Tabela1[[#This Row],[EMOL VD]]:Tabela1[[#This Row],[OUTRAS VD]])</f>
        <v>65.47</v>
      </c>
      <c r="V14" s="6">
        <f>((([APLICAÇÃO] * 2) - [TAXA VD]) - ([APLICAÇÃO] + [TAXA CP])) * 0.85</f>
        <v>15680.222</v>
      </c>
      <c r="W14" s="14">
        <f>[APLICAÇÃO] - (ROUND([RENDA FIXA] * 0.1,2))</f>
        <v>14164.06</v>
      </c>
      <c r="X14" s="4">
        <f>Tabela1[[#This Row],[PERDA MAX]]/Tabela1[[#This Row],[APLICAÇÃO]]</f>
        <v>0.76342084824299139</v>
      </c>
      <c r="Y14" s="15">
        <f>IF([LUCRO] &lt; ([RENDA FIXA]/2), 0.8, 0.8)</f>
        <v>0.8</v>
      </c>
      <c r="Z14" s="6">
        <f>IF([LUCRO] &lt; 0, 0, ROUND([LUCRO]*[NO BOLSO], 2))</f>
        <v>12544.18</v>
      </c>
      <c r="AA14" s="6">
        <f>[LUCRO]-[PROTEÇÃO MÊS]</f>
        <v>3136.0399999999991</v>
      </c>
      <c r="AB14" s="6">
        <f>[RENDA FIXA] + [PROTEÇÃO MÊS] - [APORTE RF]</f>
        <v>56437.69</v>
      </c>
      <c r="AC14" s="6">
        <f>[TOT RF] + [REINVESTIR] + [APLICAÇÃO]</f>
        <v>78127.14</v>
      </c>
    </row>
    <row r="15" spans="1:29">
      <c r="A15" s="1">
        <v>14</v>
      </c>
      <c r="B15" s="20">
        <v>41395</v>
      </c>
      <c r="C15" s="3">
        <v>56437.69</v>
      </c>
      <c r="D15" s="3"/>
      <c r="E15" s="3"/>
      <c r="F15" s="3">
        <v>19181.73</v>
      </c>
      <c r="G15" s="6">
        <f>1000</f>
        <v>1000</v>
      </c>
      <c r="H15" s="6">
        <f>SUMPRODUCT(N([TRADE] &lt;= Tabela1[[#This Row],[TRADE]]), [APORTE]) + SUMPRODUCT(N([TRADE] &lt;= Tabela1[[#This Row],[TRADE]]), [APORTE RF])</f>
        <v>8580</v>
      </c>
      <c r="I15" s="6">
        <f>[MONTANTE] - SUMPRODUCT(N([TRADE] &lt;= Tabela1[[#This Row],[TRADE]]), [SAQUE]) + SUMPRODUCT(N([TRADE] &lt; Tabela1[[#This Row],[TRADE]]), [REINVESTIR])</f>
        <v>22689.449999999997</v>
      </c>
      <c r="J15" s="6">
        <f>TRUNC([APLICAÇÃO]  * SETUP!$A$3, 2)</f>
        <v>8.39</v>
      </c>
      <c r="K15" s="6">
        <f>TRUNC([APLICAÇÃO]  * SETUP!$B$3, 2)</f>
        <v>6.23</v>
      </c>
      <c r="L15" s="6">
        <f>TRUNC([APLICAÇÃO]  * SETUP!$C$3, 2)</f>
        <v>15.76</v>
      </c>
      <c r="M15" s="6">
        <f>TRUNC(SETUP!$G$3  * SETUP!$H$3, 2)</f>
        <v>0.28999999999999998</v>
      </c>
      <c r="N15" s="6">
        <f>ROUND(SETUP!$G$3 * SETUP!$I$3, 2)</f>
        <v>0.57999999999999996</v>
      </c>
      <c r="O15" s="6">
        <f>SETUP!$G$3 + SUM(Tabela1[[#This Row],[EMOL CP]]:Tabela1[[#This Row],[OUTRAS CP]])</f>
        <v>46.15</v>
      </c>
      <c r="P15" s="6">
        <f>TRUNC([APLICAÇÃO] * 2  * SETUP!$A$3, 2)</f>
        <v>16.79</v>
      </c>
      <c r="Q15" s="6">
        <f>TRUNC([APLICAÇÃO] * 2  * SETUP!$B$3, 2)</f>
        <v>12.47</v>
      </c>
      <c r="R15" s="6">
        <f>TRUNC([APLICAÇÃO] * 2  * SETUP!$C$3, 2)</f>
        <v>31.53</v>
      </c>
      <c r="S15" s="6">
        <f>TRUNC(SETUP!$G$3  * SETUP!$H$3, 2)</f>
        <v>0.28999999999999998</v>
      </c>
      <c r="T15" s="6">
        <f>ROUND(SETUP!$G$3 * SETUP!$I$3, 2)</f>
        <v>0.57999999999999996</v>
      </c>
      <c r="U15" s="6">
        <f>SETUP!$G$3 + SUM(Tabela1[[#This Row],[EMOL VD]]:Tabela1[[#This Row],[OUTRAS VD]])</f>
        <v>76.56</v>
      </c>
      <c r="V15" s="6">
        <f>((([APLICAÇÃO] * 2) - [TAXA VD]) - ([APLICAÇÃO] + [TAXA CP])) * 0.85</f>
        <v>19181.728999999999</v>
      </c>
      <c r="W15" s="14">
        <f>[APLICAÇÃO] - (ROUND([RENDA FIXA] * 0.1,2))</f>
        <v>17045.679999999997</v>
      </c>
      <c r="X15" s="4">
        <f>Tabela1[[#This Row],[PERDA MAX]]/Tabela1[[#This Row],[APLICAÇÃO]]</f>
        <v>0.75126016717020461</v>
      </c>
      <c r="Y15" s="15">
        <f>IF([LUCRO] &lt; ([RENDA FIXA]/2), 0.8, 0.8)</f>
        <v>0.8</v>
      </c>
      <c r="Z15" s="6">
        <f>IF([LUCRO] &lt; 0, 0, ROUND([LUCRO]*[NO BOLSO], 2))</f>
        <v>15345.38</v>
      </c>
      <c r="AA15" s="6">
        <f>[LUCRO]-[PROTEÇÃO MÊS]</f>
        <v>3836.3500000000004</v>
      </c>
      <c r="AB15" s="6">
        <f>[RENDA FIXA] + [PROTEÇÃO MÊS] - [APORTE RF]</f>
        <v>71783.070000000007</v>
      </c>
      <c r="AC15" s="6">
        <f>[TOT RF] + [REINVESTIR] + [APLICAÇÃO]</f>
        <v>98308.87000000001</v>
      </c>
    </row>
    <row r="16" spans="1:29">
      <c r="A16" s="1">
        <v>15</v>
      </c>
      <c r="B16" s="20">
        <v>41426</v>
      </c>
      <c r="C16" s="3">
        <v>71783.070000000007</v>
      </c>
      <c r="D16" s="3"/>
      <c r="E16" s="3"/>
      <c r="F16" s="3">
        <v>23276.09</v>
      </c>
      <c r="G16" s="6">
        <f>1000</f>
        <v>1000</v>
      </c>
      <c r="H16" s="6">
        <f>SUMPRODUCT(N([TRADE] &lt;= Tabela1[[#This Row],[TRADE]]), [APORTE]) + SUMPRODUCT(N([TRADE] &lt;= Tabela1[[#This Row],[TRADE]]), [APORTE RF])</f>
        <v>9580</v>
      </c>
      <c r="I16" s="6">
        <f>[MONTANTE] - SUMPRODUCT(N([TRADE] &lt;= Tabela1[[#This Row],[TRADE]]), [SAQUE]) + SUMPRODUCT(N([TRADE] &lt; Tabela1[[#This Row],[TRADE]]), [REINVESTIR])</f>
        <v>27525.8</v>
      </c>
      <c r="J16" s="6">
        <f>TRUNC([APLICAÇÃO]  * SETUP!$A$3, 2)</f>
        <v>10.18</v>
      </c>
      <c r="K16" s="6">
        <f>TRUNC([APLICAÇÃO]  * SETUP!$B$3, 2)</f>
        <v>7.56</v>
      </c>
      <c r="L16" s="6">
        <f>TRUNC([APLICAÇÃO]  * SETUP!$C$3, 2)</f>
        <v>19.13</v>
      </c>
      <c r="M16" s="6">
        <f>TRUNC(SETUP!$G$3  * SETUP!$H$3, 2)</f>
        <v>0.28999999999999998</v>
      </c>
      <c r="N16" s="6">
        <f>ROUND(SETUP!$G$3 * SETUP!$I$3, 2)</f>
        <v>0.57999999999999996</v>
      </c>
      <c r="O16" s="6">
        <f>SETUP!$G$3 + SUM(Tabela1[[#This Row],[EMOL CP]]:Tabela1[[#This Row],[OUTRAS CP]])</f>
        <v>52.639999999999993</v>
      </c>
      <c r="P16" s="6">
        <f>TRUNC([APLICAÇÃO] * 2  * SETUP!$A$3, 2)</f>
        <v>20.36</v>
      </c>
      <c r="Q16" s="6">
        <f>TRUNC([APLICAÇÃO] * 2  * SETUP!$B$3, 2)</f>
        <v>15.13</v>
      </c>
      <c r="R16" s="6">
        <f>TRUNC([APLICAÇÃO] * 2  * SETUP!$C$3, 2)</f>
        <v>38.26</v>
      </c>
      <c r="S16" s="6">
        <f>TRUNC(SETUP!$G$3  * SETUP!$H$3, 2)</f>
        <v>0.28999999999999998</v>
      </c>
      <c r="T16" s="6">
        <f>ROUND(SETUP!$G$3 * SETUP!$I$3, 2)</f>
        <v>0.57999999999999996</v>
      </c>
      <c r="U16" s="6">
        <f>SETUP!$G$3 + SUM(Tabela1[[#This Row],[EMOL VD]]:Tabela1[[#This Row],[OUTRAS VD]])</f>
        <v>89.52000000000001</v>
      </c>
      <c r="V16" s="6">
        <f>((([APLICAÇÃO] * 2) - [TAXA VD]) - ([APLICAÇÃO] + [TAXA CP])) * 0.85</f>
        <v>23276.094000000001</v>
      </c>
      <c r="W16" s="14">
        <f>[APLICAÇÃO] - (ROUND([RENDA FIXA] * 0.1,2))</f>
        <v>20347.489999999998</v>
      </c>
      <c r="X16" s="4">
        <f>Tabela1[[#This Row],[PERDA MAX]]/Tabela1[[#This Row],[APLICAÇÃO]]</f>
        <v>0.73921520900391624</v>
      </c>
      <c r="Y16" s="15">
        <f>IF([LUCRO] &lt; ([RENDA FIXA]/2), 0.8, 0.8)</f>
        <v>0.8</v>
      </c>
      <c r="Z16" s="6">
        <f>IF([LUCRO] &lt; 0, 0, ROUND([LUCRO]*[NO BOLSO], 2))</f>
        <v>18620.87</v>
      </c>
      <c r="AA16" s="6">
        <f>[LUCRO]-[PROTEÇÃO MÊS]</f>
        <v>4655.2200000000012</v>
      </c>
      <c r="AB16" s="6">
        <f>[RENDA FIXA] + [PROTEÇÃO MÊS] - [APORTE RF]</f>
        <v>90403.94</v>
      </c>
      <c r="AC16" s="6">
        <f>[TOT RF] + [REINVESTIR] + [APLICAÇÃO]</f>
        <v>122584.96000000001</v>
      </c>
    </row>
    <row r="17" spans="1:29">
      <c r="A17" s="1">
        <v>16</v>
      </c>
      <c r="B17" s="20">
        <v>41456</v>
      </c>
      <c r="C17" s="3">
        <v>90403.94</v>
      </c>
      <c r="D17" s="3"/>
      <c r="E17" s="3"/>
      <c r="F17" s="3">
        <v>28063.7</v>
      </c>
      <c r="G17" s="6">
        <f>1000</f>
        <v>1000</v>
      </c>
      <c r="H17" s="6">
        <f>SUMPRODUCT(N([TRADE] &lt;= Tabela1[[#This Row],[TRADE]]), [APORTE]) + SUMPRODUCT(N([TRADE] &lt;= Tabela1[[#This Row],[TRADE]]), [APORTE RF])</f>
        <v>10580</v>
      </c>
      <c r="I17" s="6">
        <f>[MONTANTE] - SUMPRODUCT(N([TRADE] &lt;= Tabela1[[#This Row],[TRADE]]), [SAQUE]) + SUMPRODUCT(N([TRADE] &lt; Tabela1[[#This Row],[TRADE]]), [REINVESTIR])</f>
        <v>33181.020000000004</v>
      </c>
      <c r="J17" s="6">
        <f>TRUNC([APLICAÇÃO]  * SETUP!$A$3, 2)</f>
        <v>12.27</v>
      </c>
      <c r="K17" s="6">
        <f>TRUNC([APLICAÇÃO]  * SETUP!$B$3, 2)</f>
        <v>9.1199999999999992</v>
      </c>
      <c r="L17" s="6">
        <f>TRUNC([APLICAÇÃO]  * SETUP!$C$3, 2)</f>
        <v>23.06</v>
      </c>
      <c r="M17" s="6">
        <f>TRUNC(SETUP!$G$3  * SETUP!$H$3, 2)</f>
        <v>0.28999999999999998</v>
      </c>
      <c r="N17" s="6">
        <f>ROUND(SETUP!$G$3 * SETUP!$I$3, 2)</f>
        <v>0.57999999999999996</v>
      </c>
      <c r="O17" s="6">
        <f>SETUP!$G$3 + SUM(Tabela1[[#This Row],[EMOL CP]]:Tabela1[[#This Row],[OUTRAS CP]])</f>
        <v>60.22</v>
      </c>
      <c r="P17" s="6">
        <f>TRUNC([APLICAÇÃO] * 2  * SETUP!$A$3, 2)</f>
        <v>24.55</v>
      </c>
      <c r="Q17" s="6">
        <f>TRUNC([APLICAÇÃO] * 2  * SETUP!$B$3, 2)</f>
        <v>18.239999999999998</v>
      </c>
      <c r="R17" s="6">
        <f>TRUNC([APLICAÇÃO] * 2  * SETUP!$C$3, 2)</f>
        <v>46.12</v>
      </c>
      <c r="S17" s="6">
        <f>TRUNC(SETUP!$G$3  * SETUP!$H$3, 2)</f>
        <v>0.28999999999999998</v>
      </c>
      <c r="T17" s="6">
        <f>ROUND(SETUP!$G$3 * SETUP!$I$3, 2)</f>
        <v>0.57999999999999996</v>
      </c>
      <c r="U17" s="6">
        <f>SETUP!$G$3 + SUM(Tabela1[[#This Row],[EMOL VD]]:Tabela1[[#This Row],[OUTRAS VD]])</f>
        <v>104.68</v>
      </c>
      <c r="V17" s="6">
        <f>((([APLICAÇÃO] * 2) - [TAXA VD]) - ([APLICAÇÃO] + [TAXA CP])) * 0.85</f>
        <v>28063.702000000008</v>
      </c>
      <c r="W17" s="14">
        <f>[APLICAÇÃO] - (ROUND([RENDA FIXA] * 0.1,2))</f>
        <v>24140.630000000005</v>
      </c>
      <c r="X17" s="4">
        <f>Tabela1[[#This Row],[PERDA MAX]]/Tabela1[[#This Row],[APLICAÇÃO]]</f>
        <v>0.72754333652190328</v>
      </c>
      <c r="Y17" s="15">
        <f>IF([LUCRO] &lt; ([RENDA FIXA]/2), 0.8, 0.8)</f>
        <v>0.8</v>
      </c>
      <c r="Z17" s="6">
        <f>IF([LUCRO] &lt; 0, 0, ROUND([LUCRO]*[NO BOLSO], 2))</f>
        <v>22450.959999999999</v>
      </c>
      <c r="AA17" s="6">
        <f>[LUCRO]-[PROTEÇÃO MÊS]</f>
        <v>5612.7400000000016</v>
      </c>
      <c r="AB17" s="6">
        <f>[RENDA FIXA] + [PROTEÇÃO MÊS] - [APORTE RF]</f>
        <v>112854.9</v>
      </c>
      <c r="AC17" s="6">
        <f>[TOT RF] + [REINVESTIR] + [APLICAÇÃO]</f>
        <v>151648.66</v>
      </c>
    </row>
    <row r="18" spans="1:29">
      <c r="A18" s="1">
        <v>17</v>
      </c>
      <c r="B18" s="20">
        <v>41487</v>
      </c>
      <c r="C18" s="3">
        <v>112854.9</v>
      </c>
      <c r="D18" s="3"/>
      <c r="E18" s="3"/>
      <c r="F18" s="3">
        <v>33661.94</v>
      </c>
      <c r="G18" s="6">
        <f>1000</f>
        <v>1000</v>
      </c>
      <c r="H18" s="6">
        <f>SUMPRODUCT(N([TRADE] &lt;= Tabela1[[#This Row],[TRADE]]), [APORTE]) + SUMPRODUCT(N([TRADE] &lt;= Tabela1[[#This Row],[TRADE]]), [APORTE RF])</f>
        <v>11580</v>
      </c>
      <c r="I18" s="6">
        <f>[MONTANTE] - SUMPRODUCT(N([TRADE] &lt;= Tabela1[[#This Row],[TRADE]]), [SAQUE]) + SUMPRODUCT(N([TRADE] &lt; Tabela1[[#This Row],[TRADE]]), [REINVESTIR])</f>
        <v>39793.760000000002</v>
      </c>
      <c r="J18" s="6">
        <f>TRUNC([APLICAÇÃO]  * SETUP!$A$3, 2)</f>
        <v>14.72</v>
      </c>
      <c r="K18" s="6">
        <f>TRUNC([APLICAÇÃO]  * SETUP!$B$3, 2)</f>
        <v>10.94</v>
      </c>
      <c r="L18" s="6">
        <f>TRUNC([APLICAÇÃO]  * SETUP!$C$3, 2)</f>
        <v>27.65</v>
      </c>
      <c r="M18" s="6">
        <f>TRUNC(SETUP!$G$3  * SETUP!$H$3, 2)</f>
        <v>0.28999999999999998</v>
      </c>
      <c r="N18" s="6">
        <f>ROUND(SETUP!$G$3 * SETUP!$I$3, 2)</f>
        <v>0.57999999999999996</v>
      </c>
      <c r="O18" s="6">
        <f>SETUP!$G$3 + SUM(Tabela1[[#This Row],[EMOL CP]]:Tabela1[[#This Row],[OUTRAS CP]])</f>
        <v>69.08</v>
      </c>
      <c r="P18" s="6">
        <f>TRUNC([APLICAÇÃO] * 2  * SETUP!$A$3, 2)</f>
        <v>29.44</v>
      </c>
      <c r="Q18" s="6">
        <f>TRUNC([APLICAÇÃO] * 2  * SETUP!$B$3, 2)</f>
        <v>21.88</v>
      </c>
      <c r="R18" s="6">
        <f>TRUNC([APLICAÇÃO] * 2  * SETUP!$C$3, 2)</f>
        <v>55.31</v>
      </c>
      <c r="S18" s="6">
        <f>TRUNC(SETUP!$G$3  * SETUP!$H$3, 2)</f>
        <v>0.28999999999999998</v>
      </c>
      <c r="T18" s="6">
        <f>ROUND(SETUP!$G$3 * SETUP!$I$3, 2)</f>
        <v>0.57999999999999996</v>
      </c>
      <c r="U18" s="6">
        <f>SETUP!$G$3 + SUM(Tabela1[[#This Row],[EMOL VD]]:Tabela1[[#This Row],[OUTRAS VD]])</f>
        <v>122.4</v>
      </c>
      <c r="V18" s="6">
        <f>((([APLICAÇÃO] * 2) - [TAXA VD]) - ([APLICAÇÃO] + [TAXA CP])) * 0.85</f>
        <v>33661.938000000002</v>
      </c>
      <c r="W18" s="14">
        <f>[APLICAÇÃO] - (ROUND([RENDA FIXA] * 0.1,2))</f>
        <v>28508.270000000004</v>
      </c>
      <c r="X18" s="4">
        <f>Tabela1[[#This Row],[PERDA MAX]]/Tabela1[[#This Row],[APLICAÇÃO]]</f>
        <v>0.71640051103489599</v>
      </c>
      <c r="Y18" s="15">
        <f>IF([LUCRO] &lt; ([RENDA FIXA]/2), 0.8, 0.8)</f>
        <v>0.8</v>
      </c>
      <c r="Z18" s="6">
        <f>IF([LUCRO] &lt; 0, 0, ROUND([LUCRO]*[NO BOLSO], 2))</f>
        <v>26929.55</v>
      </c>
      <c r="AA18" s="6">
        <f>[LUCRO]-[PROTEÇÃO MÊS]</f>
        <v>6732.3900000000031</v>
      </c>
      <c r="AB18" s="6">
        <f>[RENDA FIXA] + [PROTEÇÃO MÊS] - [APORTE RF]</f>
        <v>139784.44999999998</v>
      </c>
      <c r="AC18" s="6">
        <f>[TOT RF] + [REINVESTIR] + [APLICAÇÃO]</f>
        <v>186310.6</v>
      </c>
    </row>
    <row r="19" spans="1:29">
      <c r="A19" s="1">
        <v>18</v>
      </c>
      <c r="B19" s="20">
        <v>41518</v>
      </c>
      <c r="C19" s="3">
        <v>139784.45000000001</v>
      </c>
      <c r="D19" s="3"/>
      <c r="E19" s="3"/>
      <c r="F19" s="3">
        <v>40208.050000000003</v>
      </c>
      <c r="G19" s="6">
        <f>1000</f>
        <v>1000</v>
      </c>
      <c r="H19" s="6">
        <f>SUMPRODUCT(N([TRADE] &lt;= Tabela1[[#This Row],[TRADE]]), [APORTE]) + SUMPRODUCT(N([TRADE] &lt;= Tabela1[[#This Row],[TRADE]]), [APORTE RF])</f>
        <v>12580</v>
      </c>
      <c r="I19" s="6">
        <f>[MONTANTE] - SUMPRODUCT(N([TRADE] &lt;= Tabela1[[#This Row],[TRADE]]), [SAQUE]) + SUMPRODUCT(N([TRADE] &lt; Tabela1[[#This Row],[TRADE]]), [REINVESTIR])</f>
        <v>47526.150000000009</v>
      </c>
      <c r="J19" s="6">
        <f>TRUNC([APLICAÇÃO]  * SETUP!$A$3, 2)</f>
        <v>17.579999999999998</v>
      </c>
      <c r="K19" s="6">
        <f>TRUNC([APLICAÇÃO]  * SETUP!$B$3, 2)</f>
        <v>13.06</v>
      </c>
      <c r="L19" s="6">
        <f>TRUNC([APLICAÇÃO]  * SETUP!$C$3, 2)</f>
        <v>33.03</v>
      </c>
      <c r="M19" s="6">
        <f>TRUNC(SETUP!$G$3  * SETUP!$H$3, 2)</f>
        <v>0.28999999999999998</v>
      </c>
      <c r="N19" s="6">
        <f>ROUND(SETUP!$G$3 * SETUP!$I$3, 2)</f>
        <v>0.57999999999999996</v>
      </c>
      <c r="O19" s="6">
        <f>SETUP!$G$3 + SUM(Tabela1[[#This Row],[EMOL CP]]:Tabela1[[#This Row],[OUTRAS CP]])</f>
        <v>79.440000000000012</v>
      </c>
      <c r="P19" s="6">
        <f>TRUNC([APLICAÇÃO] * 2  * SETUP!$A$3, 2)</f>
        <v>35.159999999999997</v>
      </c>
      <c r="Q19" s="6">
        <f>TRUNC([APLICAÇÃO] * 2  * SETUP!$B$3, 2)</f>
        <v>26.13</v>
      </c>
      <c r="R19" s="6">
        <f>TRUNC([APLICAÇÃO] * 2  * SETUP!$C$3, 2)</f>
        <v>66.06</v>
      </c>
      <c r="S19" s="6">
        <f>TRUNC(SETUP!$G$3  * SETUP!$H$3, 2)</f>
        <v>0.28999999999999998</v>
      </c>
      <c r="T19" s="6">
        <f>ROUND(SETUP!$G$3 * SETUP!$I$3, 2)</f>
        <v>0.57999999999999996</v>
      </c>
      <c r="U19" s="6">
        <f>SETUP!$G$3 + SUM(Tabela1[[#This Row],[EMOL VD]]:Tabela1[[#This Row],[OUTRAS VD]])</f>
        <v>143.12</v>
      </c>
      <c r="V19" s="6">
        <f>((([APLICAÇÃO] * 2) - [TAXA VD]) - ([APLICAÇÃO] + [TAXA CP])) * 0.85</f>
        <v>40208.051500000009</v>
      </c>
      <c r="W19" s="14">
        <f>[APLICAÇÃO] - (ROUND([RENDA FIXA] * 0.1,2))</f>
        <v>33547.700000000012</v>
      </c>
      <c r="X19" s="4">
        <f>Tabela1[[#This Row],[PERDA MAX]]/Tabela1[[#This Row],[APLICAÇÃO]]</f>
        <v>0.7058787635859417</v>
      </c>
      <c r="Y19" s="15">
        <f>IF([LUCRO] &lt; ([RENDA FIXA]/2), 0.8, 0.8)</f>
        <v>0.8</v>
      </c>
      <c r="Z19" s="6">
        <f>IF([LUCRO] &lt; 0, 0, ROUND([LUCRO]*[NO BOLSO], 2))</f>
        <v>32166.44</v>
      </c>
      <c r="AA19" s="6">
        <f>[LUCRO]-[PROTEÇÃO MÊS]</f>
        <v>8041.6100000000042</v>
      </c>
      <c r="AB19" s="6">
        <f>[RENDA FIXA] + [PROTEÇÃO MÊS] - [APORTE RF]</f>
        <v>171950.89</v>
      </c>
      <c r="AC19" s="6">
        <f>[TOT RF] + [REINVESTIR] + [APLICAÇÃO]</f>
        <v>227518.65000000002</v>
      </c>
    </row>
    <row r="20" spans="1:29">
      <c r="A20" s="1">
        <v>19</v>
      </c>
      <c r="B20" s="20">
        <v>41548</v>
      </c>
      <c r="C20" s="3">
        <v>171950.89</v>
      </c>
      <c r="D20" s="3"/>
      <c r="E20" s="3"/>
      <c r="F20" s="3">
        <v>47862.51</v>
      </c>
      <c r="G20" s="6">
        <f>1000</f>
        <v>1000</v>
      </c>
      <c r="H20" s="6">
        <f>SUMPRODUCT(N([TRADE] &lt;= Tabela1[[#This Row],[TRADE]]), [APORTE]) + SUMPRODUCT(N([TRADE] &lt;= Tabela1[[#This Row],[TRADE]]), [APORTE RF])</f>
        <v>13580</v>
      </c>
      <c r="I20" s="6">
        <f>[MONTANTE] - SUMPRODUCT(N([TRADE] &lt;= Tabela1[[#This Row],[TRADE]]), [SAQUE]) + SUMPRODUCT(N([TRADE] &lt; Tabela1[[#This Row],[TRADE]]), [REINVESTIR])</f>
        <v>56567.760000000009</v>
      </c>
      <c r="J20" s="6">
        <f>TRUNC([APLICAÇÃO]  * SETUP!$A$3, 2)</f>
        <v>20.93</v>
      </c>
      <c r="K20" s="6">
        <f>TRUNC([APLICAÇÃO]  * SETUP!$B$3, 2)</f>
        <v>15.55</v>
      </c>
      <c r="L20" s="6">
        <f>TRUNC([APLICAÇÃO]  * SETUP!$C$3, 2)</f>
        <v>39.31</v>
      </c>
      <c r="M20" s="6">
        <f>TRUNC(SETUP!$G$3  * SETUP!$H$3, 2)</f>
        <v>0.28999999999999998</v>
      </c>
      <c r="N20" s="6">
        <f>ROUND(SETUP!$G$3 * SETUP!$I$3, 2)</f>
        <v>0.57999999999999996</v>
      </c>
      <c r="O20" s="6">
        <f>SETUP!$G$3 + SUM(Tabela1[[#This Row],[EMOL CP]]:Tabela1[[#This Row],[OUTRAS CP]])</f>
        <v>91.560000000000016</v>
      </c>
      <c r="P20" s="6">
        <f>TRUNC([APLICAÇÃO] * 2  * SETUP!$A$3, 2)</f>
        <v>41.86</v>
      </c>
      <c r="Q20" s="6">
        <f>TRUNC([APLICAÇÃO] * 2  * SETUP!$B$3, 2)</f>
        <v>31.11</v>
      </c>
      <c r="R20" s="6">
        <f>TRUNC([APLICAÇÃO] * 2  * SETUP!$C$3, 2)</f>
        <v>78.62</v>
      </c>
      <c r="S20" s="6">
        <f>TRUNC(SETUP!$G$3  * SETUP!$H$3, 2)</f>
        <v>0.28999999999999998</v>
      </c>
      <c r="T20" s="6">
        <f>ROUND(SETUP!$G$3 * SETUP!$I$3, 2)</f>
        <v>0.57999999999999996</v>
      </c>
      <c r="U20" s="6">
        <f>SETUP!$G$3 + SUM(Tabela1[[#This Row],[EMOL VD]]:Tabela1[[#This Row],[OUTRAS VD]])</f>
        <v>167.36</v>
      </c>
      <c r="V20" s="6">
        <f>((([APLICAÇÃO] * 2) - [TAXA VD]) - ([APLICAÇÃO] + [TAXA CP])) * 0.85</f>
        <v>47862.51400000001</v>
      </c>
      <c r="W20" s="14">
        <f>[APLICAÇÃO] - (ROUND([RENDA FIXA] * 0.1,2))</f>
        <v>39372.670000000013</v>
      </c>
      <c r="X20" s="4">
        <f>Tabela1[[#This Row],[PERDA MAX]]/Tabela1[[#This Row],[APLICAÇÃO]]</f>
        <v>0.6960266766794373</v>
      </c>
      <c r="Y20" s="15">
        <f>IF([LUCRO] &lt; ([RENDA FIXA]/2), 0.8, 0.8)</f>
        <v>0.8</v>
      </c>
      <c r="Z20" s="6">
        <f>IF([LUCRO] &lt; 0, 0, ROUND([LUCRO]*[NO BOLSO], 2))</f>
        <v>38290.01</v>
      </c>
      <c r="AA20" s="6">
        <f>[LUCRO]-[PROTEÇÃO MÊS]</f>
        <v>9572.5</v>
      </c>
      <c r="AB20" s="6">
        <f>[RENDA FIXA] + [PROTEÇÃO MÊS] - [APORTE RF]</f>
        <v>210240.90000000002</v>
      </c>
      <c r="AC20" s="6">
        <f>[TOT RF] + [REINVESTIR] + [APLICAÇÃO]</f>
        <v>276381.16000000003</v>
      </c>
    </row>
    <row r="21" spans="1:29">
      <c r="A21" s="1">
        <v>20</v>
      </c>
      <c r="B21" s="20">
        <v>41579</v>
      </c>
      <c r="C21" s="3">
        <v>210240.9</v>
      </c>
      <c r="D21" s="3"/>
      <c r="E21" s="3"/>
      <c r="F21" s="3">
        <v>56813.01</v>
      </c>
      <c r="G21" s="6">
        <f>1000</f>
        <v>1000</v>
      </c>
      <c r="H21" s="6">
        <f>SUMPRODUCT(N([TRADE] &lt;= Tabela1[[#This Row],[TRADE]]), [APORTE]) + SUMPRODUCT(N([TRADE] &lt;= Tabela1[[#This Row],[TRADE]]), [APORTE RF])</f>
        <v>14580</v>
      </c>
      <c r="I21" s="6">
        <f>[MONTANTE] - SUMPRODUCT(N([TRADE] &lt;= Tabela1[[#This Row],[TRADE]]), [SAQUE]) + SUMPRODUCT(N([TRADE] &lt; Tabela1[[#This Row],[TRADE]]), [REINVESTIR])</f>
        <v>67140.260000000009</v>
      </c>
      <c r="J21" s="6">
        <f>TRUNC([APLICAÇÃO]  * SETUP!$A$3, 2)</f>
        <v>24.84</v>
      </c>
      <c r="K21" s="6">
        <f>TRUNC([APLICAÇÃO]  * SETUP!$B$3, 2)</f>
        <v>18.46</v>
      </c>
      <c r="L21" s="6">
        <f>TRUNC([APLICAÇÃO]  * SETUP!$C$3, 2)</f>
        <v>46.66</v>
      </c>
      <c r="M21" s="6">
        <f>TRUNC(SETUP!$G$3  * SETUP!$H$3, 2)</f>
        <v>0.28999999999999998</v>
      </c>
      <c r="N21" s="6">
        <f>ROUND(SETUP!$G$3 * SETUP!$I$3, 2)</f>
        <v>0.57999999999999996</v>
      </c>
      <c r="O21" s="6">
        <f>SETUP!$G$3 + SUM(Tabela1[[#This Row],[EMOL CP]]:Tabela1[[#This Row],[OUTRAS CP]])</f>
        <v>105.73</v>
      </c>
      <c r="P21" s="6">
        <f>TRUNC([APLICAÇÃO] * 2  * SETUP!$A$3, 2)</f>
        <v>49.68</v>
      </c>
      <c r="Q21" s="6">
        <f>TRUNC([APLICAÇÃO] * 2  * SETUP!$B$3, 2)</f>
        <v>36.92</v>
      </c>
      <c r="R21" s="6">
        <f>TRUNC([APLICAÇÃO] * 2  * SETUP!$C$3, 2)</f>
        <v>93.32</v>
      </c>
      <c r="S21" s="6">
        <f>TRUNC(SETUP!$G$3  * SETUP!$H$3, 2)</f>
        <v>0.28999999999999998</v>
      </c>
      <c r="T21" s="6">
        <f>ROUND(SETUP!$G$3 * SETUP!$I$3, 2)</f>
        <v>0.57999999999999996</v>
      </c>
      <c r="U21" s="6">
        <f>SETUP!$G$3 + SUM(Tabela1[[#This Row],[EMOL VD]]:Tabela1[[#This Row],[OUTRAS VD]])</f>
        <v>195.69</v>
      </c>
      <c r="V21" s="6">
        <f>((([APLICAÇÃO] * 2) - [TAXA VD]) - ([APLICAÇÃO] + [TAXA CP])) * 0.85</f>
        <v>56813.01400000001</v>
      </c>
      <c r="W21" s="14">
        <f>[APLICAÇÃO] - (ROUND([RENDA FIXA] * 0.1,2))</f>
        <v>46116.170000000013</v>
      </c>
      <c r="X21" s="4">
        <f>Tabela1[[#This Row],[PERDA MAX]]/Tabela1[[#This Row],[APLICAÇÃO]]</f>
        <v>0.68686314291901773</v>
      </c>
      <c r="Y21" s="15">
        <f>IF([LUCRO] &lt; ([RENDA FIXA]/2), 0.8, 0.8)</f>
        <v>0.8</v>
      </c>
      <c r="Z21" s="6">
        <f>IF([LUCRO] &lt; 0, 0, ROUND([LUCRO]*[NO BOLSO], 2))</f>
        <v>45450.41</v>
      </c>
      <c r="AA21" s="6">
        <f>[LUCRO]-[PROTEÇÃO MÊS]</f>
        <v>11362.599999999999</v>
      </c>
      <c r="AB21" s="6">
        <f>[RENDA FIXA] + [PROTEÇÃO MÊS] - [APORTE RF]</f>
        <v>255691.31</v>
      </c>
      <c r="AC21" s="6">
        <f>[TOT RF] + [REINVESTIR] + [APLICAÇÃO]</f>
        <v>334194.17</v>
      </c>
    </row>
    <row r="22" spans="1:29">
      <c r="A22" s="1">
        <v>21</v>
      </c>
      <c r="B22" s="20">
        <v>41609</v>
      </c>
      <c r="C22" s="3">
        <v>255691.31</v>
      </c>
      <c r="D22" s="3"/>
      <c r="E22" s="3"/>
      <c r="F22" s="3">
        <v>67278.990000000005</v>
      </c>
      <c r="G22" s="6">
        <f>1000</f>
        <v>1000</v>
      </c>
      <c r="H22" s="6">
        <f>SUMPRODUCT(N([TRADE] &lt;= Tabela1[[#This Row],[TRADE]]), [APORTE]) + SUMPRODUCT(N([TRADE] &lt;= Tabela1[[#This Row],[TRADE]]), [APORTE RF])</f>
        <v>15580</v>
      </c>
      <c r="I22" s="6">
        <f>[MONTANTE] - SUMPRODUCT(N([TRADE] &lt;= Tabela1[[#This Row],[TRADE]]), [SAQUE]) + SUMPRODUCT(N([TRADE] &lt; Tabela1[[#This Row],[TRADE]]), [REINVESTIR])</f>
        <v>79502.860000000015</v>
      </c>
      <c r="J22" s="6">
        <f>TRUNC([APLICAÇÃO]  * SETUP!$A$3, 2)</f>
        <v>29.41</v>
      </c>
      <c r="K22" s="6">
        <f>TRUNC([APLICAÇÃO]  * SETUP!$B$3, 2)</f>
        <v>21.86</v>
      </c>
      <c r="L22" s="6">
        <f>TRUNC([APLICAÇÃO]  * SETUP!$C$3, 2)</f>
        <v>55.25</v>
      </c>
      <c r="M22" s="6">
        <f>TRUNC(SETUP!$G$3  * SETUP!$H$3, 2)</f>
        <v>0.28999999999999998</v>
      </c>
      <c r="N22" s="6">
        <f>ROUND(SETUP!$G$3 * SETUP!$I$3, 2)</f>
        <v>0.57999999999999996</v>
      </c>
      <c r="O22" s="6">
        <f>SETUP!$G$3 + SUM(Tabela1[[#This Row],[EMOL CP]]:Tabela1[[#This Row],[OUTRAS CP]])</f>
        <v>122.29</v>
      </c>
      <c r="P22" s="6">
        <f>TRUNC([APLICAÇÃO] * 2  * SETUP!$A$3, 2)</f>
        <v>58.83</v>
      </c>
      <c r="Q22" s="6">
        <f>TRUNC([APLICAÇÃO] * 2  * SETUP!$B$3, 2)</f>
        <v>43.72</v>
      </c>
      <c r="R22" s="6">
        <f>TRUNC([APLICAÇÃO] * 2  * SETUP!$C$3, 2)</f>
        <v>110.5</v>
      </c>
      <c r="S22" s="6">
        <f>TRUNC(SETUP!$G$3  * SETUP!$H$3, 2)</f>
        <v>0.28999999999999998</v>
      </c>
      <c r="T22" s="6">
        <f>ROUND(SETUP!$G$3 * SETUP!$I$3, 2)</f>
        <v>0.57999999999999996</v>
      </c>
      <c r="U22" s="6">
        <f>SETUP!$G$3 + SUM(Tabela1[[#This Row],[EMOL VD]]:Tabela1[[#This Row],[OUTRAS VD]])</f>
        <v>228.82000000000002</v>
      </c>
      <c r="V22" s="6">
        <f>((([APLICAÇÃO] * 2) - [TAXA VD]) - ([APLICAÇÃO] + [TAXA CP])) * 0.85</f>
        <v>67278.987500000017</v>
      </c>
      <c r="W22" s="14">
        <f>[APLICAÇÃO] - (ROUND([RENDA FIXA] * 0.1,2))</f>
        <v>53933.73000000001</v>
      </c>
      <c r="X22" s="4">
        <f>Tabela1[[#This Row],[PERDA MAX]]/Tabela1[[#This Row],[APLICAÇÃO]]</f>
        <v>0.67838729323699798</v>
      </c>
      <c r="Y22" s="15">
        <f>IF([LUCRO] &lt; ([RENDA FIXA]/2), 0.8, 0.8)</f>
        <v>0.8</v>
      </c>
      <c r="Z22" s="6">
        <f>IF([LUCRO] &lt; 0, 0, ROUND([LUCRO]*[NO BOLSO], 2))</f>
        <v>53823.19</v>
      </c>
      <c r="AA22" s="6">
        <f>[LUCRO]-[PROTEÇÃO MÊS]</f>
        <v>13455.800000000003</v>
      </c>
      <c r="AB22" s="6">
        <f>[RENDA FIXA] + [PROTEÇÃO MÊS] - [APORTE RF]</f>
        <v>309514.5</v>
      </c>
      <c r="AC22" s="6">
        <f>[TOT RF] + [REINVESTIR] + [APLICAÇÃO]</f>
        <v>402473.16000000003</v>
      </c>
    </row>
    <row r="23" spans="1:29">
      <c r="A23" s="1">
        <v>22</v>
      </c>
      <c r="B23" s="20">
        <v>41640</v>
      </c>
      <c r="C23" s="3">
        <v>309514.5</v>
      </c>
      <c r="D23" s="3"/>
      <c r="E23" s="3"/>
      <c r="F23" s="3">
        <v>79517.02</v>
      </c>
      <c r="G23" s="6">
        <f>1000</f>
        <v>1000</v>
      </c>
      <c r="H23" s="6">
        <f>SUMPRODUCT(N([TRADE] &lt;= Tabela1[[#This Row],[TRADE]]), [APORTE]) + SUMPRODUCT(N([TRADE] &lt;= Tabela1[[#This Row],[TRADE]]), [APORTE RF])</f>
        <v>16580</v>
      </c>
      <c r="I23" s="6">
        <f>[MONTANTE] - SUMPRODUCT(N([TRADE] &lt;= Tabela1[[#This Row],[TRADE]]), [SAQUE]) + SUMPRODUCT(N([TRADE] &lt; Tabela1[[#This Row],[TRADE]]), [REINVESTIR])</f>
        <v>93958.66</v>
      </c>
      <c r="J23" s="6">
        <f>TRUNC([APLICAÇÃO]  * SETUP!$A$3, 2)</f>
        <v>34.76</v>
      </c>
      <c r="K23" s="6">
        <f>TRUNC([APLICAÇÃO]  * SETUP!$B$3, 2)</f>
        <v>25.83</v>
      </c>
      <c r="L23" s="6">
        <f>TRUNC([APLICAÇÃO]  * SETUP!$C$3, 2)</f>
        <v>65.3</v>
      </c>
      <c r="M23" s="6">
        <f>TRUNC(SETUP!$G$3  * SETUP!$H$3, 2)</f>
        <v>0.28999999999999998</v>
      </c>
      <c r="N23" s="6">
        <f>ROUND(SETUP!$G$3 * SETUP!$I$3, 2)</f>
        <v>0.57999999999999996</v>
      </c>
      <c r="O23" s="6">
        <f>SETUP!$G$3 + SUM(Tabela1[[#This Row],[EMOL CP]]:Tabela1[[#This Row],[OUTRAS CP]])</f>
        <v>141.66</v>
      </c>
      <c r="P23" s="6">
        <f>TRUNC([APLICAÇÃO] * 2  * SETUP!$A$3, 2)</f>
        <v>69.52</v>
      </c>
      <c r="Q23" s="6">
        <f>TRUNC([APLICAÇÃO] * 2  * SETUP!$B$3, 2)</f>
        <v>51.67</v>
      </c>
      <c r="R23" s="6">
        <f>TRUNC([APLICAÇÃO] * 2  * SETUP!$C$3, 2)</f>
        <v>130.6</v>
      </c>
      <c r="S23" s="6">
        <f>TRUNC(SETUP!$G$3  * SETUP!$H$3, 2)</f>
        <v>0.28999999999999998</v>
      </c>
      <c r="T23" s="6">
        <f>ROUND(SETUP!$G$3 * SETUP!$I$3, 2)</f>
        <v>0.57999999999999996</v>
      </c>
      <c r="U23" s="6">
        <f>SETUP!$G$3 + SUM(Tabela1[[#This Row],[EMOL VD]]:Tabela1[[#This Row],[OUTRAS VD]])</f>
        <v>267.56</v>
      </c>
      <c r="V23" s="6">
        <f>((([APLICAÇÃO] * 2) - [TAXA VD]) - ([APLICAÇÃO] + [TAXA CP])) * 0.85</f>
        <v>79517.024000000005</v>
      </c>
      <c r="W23" s="14">
        <f>[APLICAÇÃO] - (ROUND([RENDA FIXA] * 0.1,2))</f>
        <v>63007.210000000006</v>
      </c>
      <c r="X23" s="4">
        <f>Tabela1[[#This Row],[PERDA MAX]]/Tabela1[[#This Row],[APLICAÇÃO]]</f>
        <v>0.67058438253589403</v>
      </c>
      <c r="Y23" s="15">
        <f>IF([LUCRO] &lt; ([RENDA FIXA]/2), 0.8, 0.8)</f>
        <v>0.8</v>
      </c>
      <c r="Z23" s="6">
        <f>IF([LUCRO] &lt; 0, 0, ROUND([LUCRO]*[NO BOLSO], 2))</f>
        <v>63613.62</v>
      </c>
      <c r="AA23" s="6">
        <f>[LUCRO]-[PROTEÇÃO MÊS]</f>
        <v>15903.400000000001</v>
      </c>
      <c r="AB23" s="6">
        <f>[RENDA FIXA] + [PROTEÇÃO MÊS] - [APORTE RF]</f>
        <v>373128.12</v>
      </c>
      <c r="AC23" s="6">
        <f>[TOT RF] + [REINVESTIR] + [APLICAÇÃO]</f>
        <v>482990.18000000005</v>
      </c>
    </row>
    <row r="24" spans="1:29">
      <c r="A24" s="1">
        <v>23</v>
      </c>
      <c r="B24" s="20">
        <v>41671</v>
      </c>
      <c r="C24" s="3">
        <v>373128.12</v>
      </c>
      <c r="D24" s="3"/>
      <c r="E24" s="3"/>
      <c r="F24" s="3">
        <v>93827.17</v>
      </c>
      <c r="G24" s="6">
        <f>1000</f>
        <v>1000</v>
      </c>
      <c r="H24" s="6">
        <f>SUMPRODUCT(N([TRADE] &lt;= Tabela1[[#This Row],[TRADE]]), [APORTE]) + SUMPRODUCT(N([TRADE] &lt;= Tabela1[[#This Row],[TRADE]]), [APORTE RF])</f>
        <v>17580</v>
      </c>
      <c r="I24" s="6">
        <f>[MONTANTE] - SUMPRODUCT(N([TRADE] &lt;= Tabela1[[#This Row],[TRADE]]), [SAQUE]) + SUMPRODUCT(N([TRADE] &lt; Tabela1[[#This Row],[TRADE]]), [REINVESTIR])</f>
        <v>110862.06</v>
      </c>
      <c r="J24" s="6">
        <f>TRUNC([APLICAÇÃO]  * SETUP!$A$3, 2)</f>
        <v>41.01</v>
      </c>
      <c r="K24" s="6">
        <f>TRUNC([APLICAÇÃO]  * SETUP!$B$3, 2)</f>
        <v>30.48</v>
      </c>
      <c r="L24" s="6">
        <f>TRUNC([APLICAÇÃO]  * SETUP!$C$3, 2)</f>
        <v>77.040000000000006</v>
      </c>
      <c r="M24" s="6">
        <f>TRUNC(SETUP!$G$3  * SETUP!$H$3, 2)</f>
        <v>0.28999999999999998</v>
      </c>
      <c r="N24" s="6">
        <f>ROUND(SETUP!$G$3 * SETUP!$I$3, 2)</f>
        <v>0.57999999999999996</v>
      </c>
      <c r="O24" s="6">
        <f>SETUP!$G$3 + SUM(Tabela1[[#This Row],[EMOL CP]]:Tabela1[[#This Row],[OUTRAS CP]])</f>
        <v>164.3</v>
      </c>
      <c r="P24" s="6">
        <f>TRUNC([APLICAÇÃO] * 2  * SETUP!$A$3, 2)</f>
        <v>82.03</v>
      </c>
      <c r="Q24" s="6">
        <f>TRUNC([APLICAÇÃO] * 2  * SETUP!$B$3, 2)</f>
        <v>60.97</v>
      </c>
      <c r="R24" s="6">
        <f>TRUNC([APLICAÇÃO] * 2  * SETUP!$C$3, 2)</f>
        <v>154.09</v>
      </c>
      <c r="S24" s="6">
        <f>TRUNC(SETUP!$G$3  * SETUP!$H$3, 2)</f>
        <v>0.28999999999999998</v>
      </c>
      <c r="T24" s="6">
        <f>ROUND(SETUP!$G$3 * SETUP!$I$3, 2)</f>
        <v>0.57999999999999996</v>
      </c>
      <c r="U24" s="6">
        <f>SETUP!$G$3 + SUM(Tabela1[[#This Row],[EMOL VD]]:Tabela1[[#This Row],[OUTRAS VD]])</f>
        <v>312.86</v>
      </c>
      <c r="V24" s="6">
        <f>((([APLICAÇÃO] * 2) - [TAXA VD]) - ([APLICAÇÃO] + [TAXA CP])) * 0.85</f>
        <v>93827.165000000008</v>
      </c>
      <c r="W24" s="14">
        <f>[APLICAÇÃO] - (ROUND([RENDA FIXA] * 0.1,2))</f>
        <v>73549.25</v>
      </c>
      <c r="X24" s="4">
        <f>Tabela1[[#This Row],[PERDA MAX]]/Tabela1[[#This Row],[APLICAÇÃO]]</f>
        <v>0.66343030248580981</v>
      </c>
      <c r="Y24" s="15">
        <f>IF([LUCRO] &lt; ([RENDA FIXA]/2), 0.8, 0.8)</f>
        <v>0.8</v>
      </c>
      <c r="Z24" s="6">
        <f>IF([LUCRO] &lt; 0, 0, ROUND([LUCRO]*[NO BOLSO], 2))</f>
        <v>75061.740000000005</v>
      </c>
      <c r="AA24" s="6">
        <f>[LUCRO]-[PROTEÇÃO MÊS]</f>
        <v>18765.429999999993</v>
      </c>
      <c r="AB24" s="6">
        <f>[RENDA FIXA] + [PROTEÇÃO MÊS] - [APORTE RF]</f>
        <v>448189.86</v>
      </c>
      <c r="AC24" s="6">
        <f>[TOT RF] + [REINVESTIR] + [APLICAÇÃO]</f>
        <v>577817.35</v>
      </c>
    </row>
    <row r="25" spans="1:29">
      <c r="A25" s="1">
        <v>24</v>
      </c>
      <c r="B25" s="20">
        <v>41699</v>
      </c>
      <c r="C25" s="3">
        <v>448189.86</v>
      </c>
      <c r="D25" s="3"/>
      <c r="E25" s="3"/>
      <c r="F25" s="3">
        <v>110560.22</v>
      </c>
      <c r="G25" s="6">
        <f>1000</f>
        <v>1000</v>
      </c>
      <c r="H25" s="6">
        <f>SUMPRODUCT(N([TRADE] &lt;= Tabela1[[#This Row],[TRADE]]), [APORTE]) + SUMPRODUCT(N([TRADE] &lt;= Tabela1[[#This Row],[TRADE]]), [APORTE RF])</f>
        <v>18580</v>
      </c>
      <c r="I25" s="6">
        <f>[MONTANTE] - SUMPRODUCT(N([TRADE] &lt;= Tabela1[[#This Row],[TRADE]]), [SAQUE]) + SUMPRODUCT(N([TRADE] &lt; Tabela1[[#This Row],[TRADE]]), [REINVESTIR])</f>
        <v>130627.48999999999</v>
      </c>
      <c r="J25" s="6">
        <f>TRUNC([APLICAÇÃO]  * SETUP!$A$3, 2)</f>
        <v>48.33</v>
      </c>
      <c r="K25" s="6">
        <f>TRUNC([APLICAÇÃO]  * SETUP!$B$3, 2)</f>
        <v>35.92</v>
      </c>
      <c r="L25" s="6">
        <f>TRUNC([APLICAÇÃO]  * SETUP!$C$3, 2)</f>
        <v>90.78</v>
      </c>
      <c r="M25" s="6">
        <f>TRUNC(SETUP!$G$3  * SETUP!$H$3, 2)</f>
        <v>0.28999999999999998</v>
      </c>
      <c r="N25" s="6">
        <f>ROUND(SETUP!$G$3 * SETUP!$I$3, 2)</f>
        <v>0.57999999999999996</v>
      </c>
      <c r="O25" s="6">
        <f>SETUP!$G$3 + SUM(Tabela1[[#This Row],[EMOL CP]]:Tabela1[[#This Row],[OUTRAS CP]])</f>
        <v>190.8</v>
      </c>
      <c r="P25" s="6">
        <f>TRUNC([APLICAÇÃO] * 2  * SETUP!$A$3, 2)</f>
        <v>96.66</v>
      </c>
      <c r="Q25" s="6">
        <f>TRUNC([APLICAÇÃO] * 2  * SETUP!$B$3, 2)</f>
        <v>71.84</v>
      </c>
      <c r="R25" s="6">
        <f>TRUNC([APLICAÇÃO] * 2  * SETUP!$C$3, 2)</f>
        <v>181.57</v>
      </c>
      <c r="S25" s="6">
        <f>TRUNC(SETUP!$G$3  * SETUP!$H$3, 2)</f>
        <v>0.28999999999999998</v>
      </c>
      <c r="T25" s="6">
        <f>ROUND(SETUP!$G$3 * SETUP!$I$3, 2)</f>
        <v>0.57999999999999996</v>
      </c>
      <c r="U25" s="6">
        <f>SETUP!$G$3 + SUM(Tabela1[[#This Row],[EMOL VD]]:Tabela1[[#This Row],[OUTRAS VD]])</f>
        <v>365.84</v>
      </c>
      <c r="V25" s="6">
        <f>((([APLICAÇÃO] * 2) - [TAXA VD]) - ([APLICAÇÃO] + [TAXA CP])) * 0.85</f>
        <v>110560.22249999999</v>
      </c>
      <c r="W25" s="14">
        <f>[APLICAÇÃO] - (ROUND([RENDA FIXA] * 0.1,2))</f>
        <v>85808.5</v>
      </c>
      <c r="X25" s="4">
        <f>Tabela1[[#This Row],[PERDA MAX]]/Tabela1[[#This Row],[APLICAÇÃO]]</f>
        <v>0.65689465517556833</v>
      </c>
      <c r="Y25" s="15">
        <f>IF([LUCRO] &lt; ([RENDA FIXA]/2), 0.8, 0.8)</f>
        <v>0.8</v>
      </c>
      <c r="Z25" s="6">
        <f>IF([LUCRO] &lt; 0, 0, ROUND([LUCRO]*[NO BOLSO], 2))</f>
        <v>88448.18</v>
      </c>
      <c r="AA25" s="6">
        <f>[LUCRO]-[PROTEÇÃO MÊS]</f>
        <v>22112.040000000008</v>
      </c>
      <c r="AB25" s="6">
        <f>[RENDA FIXA] + [PROTEÇÃO MÊS] - [APORTE RF]</f>
        <v>536638.04</v>
      </c>
      <c r="AC25" s="6">
        <f>[TOT RF] + [REINVESTIR] + [APLICAÇÃO]</f>
        <v>689377.57000000007</v>
      </c>
    </row>
    <row r="26" spans="1:29">
      <c r="A26" s="1">
        <v>25</v>
      </c>
      <c r="B26" s="20">
        <v>41730</v>
      </c>
      <c r="C26" s="3">
        <v>536638.04</v>
      </c>
      <c r="D26" s="3"/>
      <c r="E26" s="3"/>
      <c r="F26" s="3">
        <v>130126.5</v>
      </c>
      <c r="G26" s="6">
        <f>1000</f>
        <v>1000</v>
      </c>
      <c r="H26" s="6">
        <f>SUMPRODUCT(N([TRADE] &lt;= Tabela1[[#This Row],[TRADE]]), [APORTE]) + SUMPRODUCT(N([TRADE] &lt;= Tabela1[[#This Row],[TRADE]]), [APORTE RF])</f>
        <v>19580</v>
      </c>
      <c r="I26" s="6">
        <f>[MONTANTE] - SUMPRODUCT(N([TRADE] &lt;= Tabela1[[#This Row],[TRADE]]), [SAQUE]) + SUMPRODUCT(N([TRADE] &lt; Tabela1[[#This Row],[TRADE]]), [REINVESTIR])</f>
        <v>153739.53</v>
      </c>
      <c r="J26" s="6">
        <f>TRUNC([APLICAÇÃO]  * SETUP!$A$3, 2)</f>
        <v>56.88</v>
      </c>
      <c r="K26" s="6">
        <f>TRUNC([APLICAÇÃO]  * SETUP!$B$3, 2)</f>
        <v>42.27</v>
      </c>
      <c r="L26" s="6">
        <f>TRUNC([APLICAÇÃO]  * SETUP!$C$3, 2)</f>
        <v>106.84</v>
      </c>
      <c r="M26" s="6">
        <f>TRUNC(SETUP!$G$3  * SETUP!$H$3, 2)</f>
        <v>0.28999999999999998</v>
      </c>
      <c r="N26" s="6">
        <f>ROUND(SETUP!$G$3 * SETUP!$I$3, 2)</f>
        <v>0.57999999999999996</v>
      </c>
      <c r="O26" s="6">
        <f>SETUP!$G$3 + SUM(Tabela1[[#This Row],[EMOL CP]]:Tabela1[[#This Row],[OUTRAS CP]])</f>
        <v>221.76000000000002</v>
      </c>
      <c r="P26" s="6">
        <f>TRUNC([APLICAÇÃO] * 2  * SETUP!$A$3, 2)</f>
        <v>113.76</v>
      </c>
      <c r="Q26" s="6">
        <f>TRUNC([APLICAÇÃO] * 2  * SETUP!$B$3, 2)</f>
        <v>84.55</v>
      </c>
      <c r="R26" s="6">
        <f>TRUNC([APLICAÇÃO] * 2  * SETUP!$C$3, 2)</f>
        <v>213.69</v>
      </c>
      <c r="S26" s="6">
        <f>TRUNC(SETUP!$G$3  * SETUP!$H$3, 2)</f>
        <v>0.28999999999999998</v>
      </c>
      <c r="T26" s="6">
        <f>ROUND(SETUP!$G$3 * SETUP!$I$3, 2)</f>
        <v>0.57999999999999996</v>
      </c>
      <c r="U26" s="6">
        <f>SETUP!$G$3 + SUM(Tabela1[[#This Row],[EMOL VD]]:Tabela1[[#This Row],[OUTRAS VD]])</f>
        <v>427.77</v>
      </c>
      <c r="V26" s="6">
        <f>((([APLICAÇÃO] * 2) - [TAXA VD]) - ([APLICAÇÃO] + [TAXA CP])) * 0.85</f>
        <v>130126.49999999997</v>
      </c>
      <c r="W26" s="14">
        <f>[APLICAÇÃO] - (ROUND([RENDA FIXA] * 0.1,2))</f>
        <v>100075.73</v>
      </c>
      <c r="X26" s="4">
        <f>Tabela1[[#This Row],[PERDA MAX]]/Tabela1[[#This Row],[APLICAÇÃO]]</f>
        <v>0.65094338456739131</v>
      </c>
      <c r="Y26" s="15">
        <f>IF([LUCRO] &lt; ([RENDA FIXA]/2), 0.8, 0.8)</f>
        <v>0.8</v>
      </c>
      <c r="Z26" s="6">
        <f>IF([LUCRO] &lt; 0, 0, ROUND([LUCRO]*[NO BOLSO], 2))</f>
        <v>104101.2</v>
      </c>
      <c r="AA26" s="6">
        <f>[LUCRO]-[PROTEÇÃO MÊS]</f>
        <v>26025.300000000003</v>
      </c>
      <c r="AB26" s="6">
        <f>[RENDA FIXA] + [PROTEÇÃO MÊS] - [APORTE RF]</f>
        <v>640739.24</v>
      </c>
      <c r="AC26" s="6">
        <f>[TOT RF] + [REINVESTIR] + [APLICAÇÃO]</f>
        <v>820504.07000000007</v>
      </c>
    </row>
    <row r="27" spans="1:29">
      <c r="A27" s="1">
        <v>26</v>
      </c>
      <c r="B27" s="20">
        <v>41760</v>
      </c>
      <c r="C27" s="3">
        <v>640739.24</v>
      </c>
      <c r="D27" s="3"/>
      <c r="E27" s="3"/>
      <c r="F27" s="3">
        <v>153005.64000000001</v>
      </c>
      <c r="G27" s="6">
        <f>1000</f>
        <v>1000</v>
      </c>
      <c r="H27" s="6">
        <f>SUMPRODUCT(N([TRADE] &lt;= Tabela1[[#This Row],[TRADE]]), [APORTE]) + SUMPRODUCT(N([TRADE] &lt;= Tabela1[[#This Row],[TRADE]]), [APORTE RF])</f>
        <v>20580</v>
      </c>
      <c r="I27" s="6">
        <f>[MONTANTE] - SUMPRODUCT(N([TRADE] &lt;= Tabela1[[#This Row],[TRADE]]), [SAQUE]) + SUMPRODUCT(N([TRADE] &lt; Tabela1[[#This Row],[TRADE]]), [REINVESTIR])</f>
        <v>180764.83000000002</v>
      </c>
      <c r="J27" s="6">
        <f>TRUNC([APLICAÇÃO]  * SETUP!$A$3, 2)</f>
        <v>66.88</v>
      </c>
      <c r="K27" s="6">
        <f>TRUNC([APLICAÇÃO]  * SETUP!$B$3, 2)</f>
        <v>49.71</v>
      </c>
      <c r="L27" s="6">
        <f>TRUNC([APLICAÇÃO]  * SETUP!$C$3, 2)</f>
        <v>125.63</v>
      </c>
      <c r="M27" s="6">
        <f>TRUNC(SETUP!$G$3  * SETUP!$H$3, 2)</f>
        <v>0.28999999999999998</v>
      </c>
      <c r="N27" s="6">
        <f>ROUND(SETUP!$G$3 * SETUP!$I$3, 2)</f>
        <v>0.57999999999999996</v>
      </c>
      <c r="O27" s="6">
        <f>SETUP!$G$3 + SUM(Tabela1[[#This Row],[EMOL CP]]:Tabela1[[#This Row],[OUTRAS CP]])</f>
        <v>257.99</v>
      </c>
      <c r="P27" s="6">
        <f>TRUNC([APLICAÇÃO] * 2  * SETUP!$A$3, 2)</f>
        <v>133.76</v>
      </c>
      <c r="Q27" s="6">
        <f>TRUNC([APLICAÇÃO] * 2  * SETUP!$B$3, 2)</f>
        <v>99.42</v>
      </c>
      <c r="R27" s="6">
        <f>TRUNC([APLICAÇÃO] * 2  * SETUP!$C$3, 2)</f>
        <v>251.26</v>
      </c>
      <c r="S27" s="6">
        <f>TRUNC(SETUP!$G$3  * SETUP!$H$3, 2)</f>
        <v>0.28999999999999998</v>
      </c>
      <c r="T27" s="6">
        <f>ROUND(SETUP!$G$3 * SETUP!$I$3, 2)</f>
        <v>0.57999999999999996</v>
      </c>
      <c r="U27" s="6">
        <f>SETUP!$G$3 + SUM(Tabela1[[#This Row],[EMOL VD]]:Tabela1[[#This Row],[OUTRAS VD]])</f>
        <v>500.21</v>
      </c>
      <c r="V27" s="6">
        <f>((([APLICAÇÃO] * 2) - [TAXA VD]) - ([APLICAÇÃO] + [TAXA CP])) * 0.85</f>
        <v>153005.6355</v>
      </c>
      <c r="W27" s="14">
        <f>[APLICAÇÃO] - (ROUND([RENDA FIXA] * 0.1,2))</f>
        <v>116690.91000000002</v>
      </c>
      <c r="X27" s="4">
        <f>Tabela1[[#This Row],[PERDA MAX]]/Tabela1[[#This Row],[APLICAÇÃO]]</f>
        <v>0.64553989844152759</v>
      </c>
      <c r="Y27" s="15">
        <f>IF([LUCRO] &lt; ([RENDA FIXA]/2), 0.8, 0.8)</f>
        <v>0.8</v>
      </c>
      <c r="Z27" s="6">
        <f>IF([LUCRO] &lt; 0, 0, ROUND([LUCRO]*[NO BOLSO], 2))</f>
        <v>122404.51</v>
      </c>
      <c r="AA27" s="6">
        <f>[LUCRO]-[PROTEÇÃO MÊS]</f>
        <v>30601.130000000019</v>
      </c>
      <c r="AB27" s="6">
        <f>[RENDA FIXA] + [PROTEÇÃO MÊS] - [APORTE RF]</f>
        <v>763143.75</v>
      </c>
      <c r="AC27" s="6">
        <f>[TOT RF] + [REINVESTIR] + [APLICAÇÃO]</f>
        <v>974509.71</v>
      </c>
    </row>
    <row r="28" spans="1:29">
      <c r="A28" s="1">
        <v>27</v>
      </c>
      <c r="B28" s="20">
        <v>41791</v>
      </c>
      <c r="C28" s="3">
        <v>763143.75</v>
      </c>
      <c r="D28" s="3"/>
      <c r="E28" s="3"/>
      <c r="F28" s="3">
        <v>179758.62</v>
      </c>
      <c r="G28" s="6">
        <f>1000</f>
        <v>1000</v>
      </c>
      <c r="H28" s="6">
        <f>SUMPRODUCT(N([TRADE] &lt;= Tabela1[[#This Row],[TRADE]]), [APORTE]) + SUMPRODUCT(N([TRADE] &lt;= Tabela1[[#This Row],[TRADE]]), [APORTE RF])</f>
        <v>21580</v>
      </c>
      <c r="I28" s="6">
        <f>[MONTANTE] - SUMPRODUCT(N([TRADE] &lt;= Tabela1[[#This Row],[TRADE]]), [SAQUE]) + SUMPRODUCT(N([TRADE] &lt; Tabela1[[#This Row],[TRADE]]), [REINVESTIR])</f>
        <v>212365.96000000002</v>
      </c>
      <c r="J28" s="6">
        <f>TRUNC([APLICAÇÃO]  * SETUP!$A$3, 2)</f>
        <v>78.569999999999993</v>
      </c>
      <c r="K28" s="6">
        <f>TRUNC([APLICAÇÃO]  * SETUP!$B$3, 2)</f>
        <v>58.4</v>
      </c>
      <c r="L28" s="6">
        <f>TRUNC([APLICAÇÃO]  * SETUP!$C$3, 2)</f>
        <v>147.59</v>
      </c>
      <c r="M28" s="6">
        <f>TRUNC(SETUP!$G$3  * SETUP!$H$3, 2)</f>
        <v>0.28999999999999998</v>
      </c>
      <c r="N28" s="6">
        <f>ROUND(SETUP!$G$3 * SETUP!$I$3, 2)</f>
        <v>0.57999999999999996</v>
      </c>
      <c r="O28" s="6">
        <f>SETUP!$G$3 + SUM(Tabela1[[#This Row],[EMOL CP]]:Tabela1[[#This Row],[OUTRAS CP]])</f>
        <v>300.33</v>
      </c>
      <c r="P28" s="6">
        <f>TRUNC([APLICAÇÃO] * 2  * SETUP!$A$3, 2)</f>
        <v>157.15</v>
      </c>
      <c r="Q28" s="6">
        <f>TRUNC([APLICAÇÃO] * 2  * SETUP!$B$3, 2)</f>
        <v>116.8</v>
      </c>
      <c r="R28" s="6">
        <f>TRUNC([APLICAÇÃO] * 2  * SETUP!$C$3, 2)</f>
        <v>295.18</v>
      </c>
      <c r="S28" s="6">
        <f>TRUNC(SETUP!$G$3  * SETUP!$H$3, 2)</f>
        <v>0.28999999999999998</v>
      </c>
      <c r="T28" s="6">
        <f>ROUND(SETUP!$G$3 * SETUP!$I$3, 2)</f>
        <v>0.57999999999999996</v>
      </c>
      <c r="U28" s="6">
        <f>SETUP!$G$3 + SUM(Tabela1[[#This Row],[EMOL VD]]:Tabela1[[#This Row],[OUTRAS VD]])</f>
        <v>584.9</v>
      </c>
      <c r="V28" s="6">
        <f>((([APLICAÇÃO] * 2) - [TAXA VD]) - ([APLICAÇÃO] + [TAXA CP])) * 0.85</f>
        <v>179758.62049999999</v>
      </c>
      <c r="W28" s="14">
        <f>[APLICAÇÃO] - (ROUND([RENDA FIXA] * 0.1,2))</f>
        <v>136051.58000000002</v>
      </c>
      <c r="X28" s="4">
        <f>Tabela1[[#This Row],[PERDA MAX]]/Tabela1[[#This Row],[APLICAÇÃO]]</f>
        <v>0.64064683436083636</v>
      </c>
      <c r="Y28" s="15">
        <f>IF([LUCRO] &lt; ([RENDA FIXA]/2), 0.8, 0.8)</f>
        <v>0.8</v>
      </c>
      <c r="Z28" s="6">
        <f>IF([LUCRO] &lt; 0, 0, ROUND([LUCRO]*[NO BOLSO], 2))</f>
        <v>143806.9</v>
      </c>
      <c r="AA28" s="6">
        <f>[LUCRO]-[PROTEÇÃO MÊS]</f>
        <v>35951.72</v>
      </c>
      <c r="AB28" s="6">
        <f>[RENDA FIXA] + [PROTEÇÃO MÊS] - [APORTE RF]</f>
        <v>906950.65</v>
      </c>
      <c r="AC28" s="6">
        <f>[TOT RF] + [REINVESTIR] + [APLICAÇÃO]</f>
        <v>1155268.33</v>
      </c>
    </row>
    <row r="29" spans="1:29">
      <c r="A29" s="1">
        <v>28</v>
      </c>
      <c r="B29" s="20">
        <v>41821</v>
      </c>
      <c r="C29" s="3">
        <v>906950.65</v>
      </c>
      <c r="D29" s="3"/>
      <c r="E29" s="3"/>
      <c r="F29" s="3">
        <v>211041.32</v>
      </c>
      <c r="G29" s="6">
        <f>1000</f>
        <v>1000</v>
      </c>
      <c r="H29" s="6">
        <f>SUMPRODUCT(N([TRADE] &lt;= Tabela1[[#This Row],[TRADE]]), [APORTE]) + SUMPRODUCT(N([TRADE] &lt;= Tabela1[[#This Row],[TRADE]]), [APORTE RF])</f>
        <v>22580</v>
      </c>
      <c r="I29" s="6">
        <f>[MONTANTE] - SUMPRODUCT(N([TRADE] &lt;= Tabela1[[#This Row],[TRADE]]), [SAQUE]) + SUMPRODUCT(N([TRADE] &lt; Tabela1[[#This Row],[TRADE]]), [REINVESTIR])</f>
        <v>249317.68000000002</v>
      </c>
      <c r="J29" s="6">
        <f>TRUNC([APLICAÇÃO]  * SETUP!$A$3, 2)</f>
        <v>92.24</v>
      </c>
      <c r="K29" s="6">
        <f>TRUNC([APLICAÇÃO]  * SETUP!$B$3, 2)</f>
        <v>68.56</v>
      </c>
      <c r="L29" s="6">
        <f>TRUNC([APLICAÇÃO]  * SETUP!$C$3, 2)</f>
        <v>173.27</v>
      </c>
      <c r="M29" s="6">
        <f>TRUNC(SETUP!$G$3  * SETUP!$H$3, 2)</f>
        <v>0.28999999999999998</v>
      </c>
      <c r="N29" s="6">
        <f>ROUND(SETUP!$G$3 * SETUP!$I$3, 2)</f>
        <v>0.57999999999999996</v>
      </c>
      <c r="O29" s="6">
        <f>SETUP!$G$3 + SUM(Tabela1[[#This Row],[EMOL CP]]:Tabela1[[#This Row],[OUTRAS CP]])</f>
        <v>349.84000000000003</v>
      </c>
      <c r="P29" s="6">
        <f>TRUNC([APLICAÇÃO] * 2  * SETUP!$A$3, 2)</f>
        <v>184.49</v>
      </c>
      <c r="Q29" s="6">
        <f>TRUNC([APLICAÇÃO] * 2  * SETUP!$B$3, 2)</f>
        <v>137.12</v>
      </c>
      <c r="R29" s="6">
        <f>TRUNC([APLICAÇÃO] * 2  * SETUP!$C$3, 2)</f>
        <v>346.55</v>
      </c>
      <c r="S29" s="6">
        <f>TRUNC(SETUP!$G$3  * SETUP!$H$3, 2)</f>
        <v>0.28999999999999998</v>
      </c>
      <c r="T29" s="6">
        <f>ROUND(SETUP!$G$3 * SETUP!$I$3, 2)</f>
        <v>0.57999999999999996</v>
      </c>
      <c r="U29" s="6">
        <f>SETUP!$G$3 + SUM(Tabela1[[#This Row],[EMOL VD]]:Tabela1[[#This Row],[OUTRAS VD]])</f>
        <v>683.93000000000006</v>
      </c>
      <c r="V29" s="6">
        <f>((([APLICAÇÃO] * 2) - [TAXA VD]) - ([APLICAÇÃO] + [TAXA CP])) * 0.85</f>
        <v>211041.32350000003</v>
      </c>
      <c r="W29" s="14">
        <f>[APLICAÇÃO] - (ROUND([RENDA FIXA] * 0.1,2))</f>
        <v>158622.61000000002</v>
      </c>
      <c r="X29" s="4">
        <f>Tabela1[[#This Row],[PERDA MAX]]/Tabela1[[#This Row],[APLICAÇÃO]]</f>
        <v>0.63622688130260152</v>
      </c>
      <c r="Y29" s="15">
        <f>IF([LUCRO] &lt; ([RENDA FIXA]/2), 0.8, 0.8)</f>
        <v>0.8</v>
      </c>
      <c r="Z29" s="6">
        <f>IF([LUCRO] &lt; 0, 0, ROUND([LUCRO]*[NO BOLSO], 2))</f>
        <v>168833.06</v>
      </c>
      <c r="AA29" s="6">
        <f>[LUCRO]-[PROTEÇÃO MÊS]</f>
        <v>42208.260000000009</v>
      </c>
      <c r="AB29" s="6">
        <f>[RENDA FIXA] + [PROTEÇÃO MÊS] - [APORTE RF]</f>
        <v>1075783.71</v>
      </c>
      <c r="AC29" s="6">
        <f>[TOT RF] + [REINVESTIR] + [APLICAÇÃO]</f>
        <v>1367309.65</v>
      </c>
    </row>
    <row r="30" spans="1:29">
      <c r="A30" s="1">
        <v>29</v>
      </c>
      <c r="B30" s="20">
        <v>41852</v>
      </c>
      <c r="C30" s="21">
        <v>1075783.71</v>
      </c>
      <c r="D30" s="21"/>
      <c r="E30" s="21"/>
      <c r="F30" s="21">
        <v>247620.71</v>
      </c>
      <c r="G30" s="6">
        <f>1000</f>
        <v>1000</v>
      </c>
      <c r="H30" s="22">
        <f>SUMPRODUCT(N([TRADE] &lt;= Tabela1[[#This Row],[TRADE]]), [APORTE]) + SUMPRODUCT(N([TRADE] &lt;= Tabela1[[#This Row],[TRADE]]), [APORTE RF])</f>
        <v>23580</v>
      </c>
      <c r="I30" s="22">
        <f>[MONTANTE] - SUMPRODUCT(N([TRADE] &lt;= Tabela1[[#This Row],[TRADE]]), [SAQUE]) + SUMPRODUCT(N([TRADE] &lt; Tabela1[[#This Row],[TRADE]]), [REINVESTIR])</f>
        <v>292525.94000000006</v>
      </c>
      <c r="J30" s="22">
        <f>TRUNC([APLICAÇÃO]  * SETUP!$A$3, 2)</f>
        <v>108.23</v>
      </c>
      <c r="K30" s="22">
        <f>TRUNC([APLICAÇÃO]  * SETUP!$B$3, 2)</f>
        <v>80.44</v>
      </c>
      <c r="L30" s="22">
        <f>TRUNC([APLICAÇÃO]  * SETUP!$C$3, 2)</f>
        <v>203.3</v>
      </c>
      <c r="M30" s="22">
        <f>TRUNC(SETUP!$G$3  * SETUP!$H$3, 2)</f>
        <v>0.28999999999999998</v>
      </c>
      <c r="N30" s="22">
        <f>ROUND(SETUP!$G$3 * SETUP!$I$3, 2)</f>
        <v>0.57999999999999996</v>
      </c>
      <c r="O30" s="22">
        <f>SETUP!$G$3 + SUM(Tabela1[[#This Row],[EMOL CP]]:Tabela1[[#This Row],[OUTRAS CP]])</f>
        <v>407.74</v>
      </c>
      <c r="P30" s="22">
        <f>TRUNC([APLICAÇÃO] * 2  * SETUP!$A$3, 2)</f>
        <v>216.46</v>
      </c>
      <c r="Q30" s="22">
        <f>TRUNC([APLICAÇÃO] * 2  * SETUP!$B$3, 2)</f>
        <v>160.88</v>
      </c>
      <c r="R30" s="22">
        <f>TRUNC([APLICAÇÃO] * 2  * SETUP!$C$3, 2)</f>
        <v>406.61</v>
      </c>
      <c r="S30" s="22">
        <f>TRUNC(SETUP!$G$3  * SETUP!$H$3, 2)</f>
        <v>0.28999999999999998</v>
      </c>
      <c r="T30" s="22">
        <f>ROUND(SETUP!$G$3 * SETUP!$I$3, 2)</f>
        <v>0.57999999999999996</v>
      </c>
      <c r="U30" s="22">
        <f>SETUP!$G$3 + SUM(Tabela1[[#This Row],[EMOL VD]]:Tabela1[[#This Row],[OUTRAS VD]])</f>
        <v>799.72</v>
      </c>
      <c r="V30" s="22">
        <f>((([APLICAÇÃO] * 2) - [TAXA VD]) - ([APLICAÇÃO] + [TAXA CP])) * 0.85</f>
        <v>247620.70800000007</v>
      </c>
      <c r="W30" s="23">
        <f>[APLICAÇÃO] - (ROUND([RENDA FIXA] * 0.1,2))</f>
        <v>184947.57000000007</v>
      </c>
      <c r="X30" s="24">
        <f>Tabela1[[#This Row],[PERDA MAX]]/Tabela1[[#This Row],[APLICAÇÃO]]</f>
        <v>0.63224331490055219</v>
      </c>
      <c r="Y30" s="25">
        <f>IF([LUCRO] &lt; ([RENDA FIXA]/2), 0.8, 0.8)</f>
        <v>0.8</v>
      </c>
      <c r="Z30" s="22">
        <f>IF([LUCRO] &lt; 0, 0, ROUND([LUCRO]*[NO BOLSO], 2))</f>
        <v>198096.57</v>
      </c>
      <c r="AA30" s="22">
        <f>[LUCRO]-[PROTEÇÃO MÊS]</f>
        <v>49524.139999999985</v>
      </c>
      <c r="AB30" s="22">
        <f>[RENDA FIXA] + [PROTEÇÃO MÊS] - [APORTE RF]</f>
        <v>1273880.28</v>
      </c>
      <c r="AC30" s="22">
        <f>[TOT RF] + [REINVESTIR] + [APLICAÇÃO]</f>
        <v>1615930.3599999999</v>
      </c>
    </row>
    <row r="31" spans="1:29">
      <c r="A31" s="1">
        <v>30</v>
      </c>
      <c r="B31" s="20">
        <v>41883</v>
      </c>
      <c r="C31" s="21">
        <v>1273880.28</v>
      </c>
      <c r="D31" s="21"/>
      <c r="E31" s="21"/>
      <c r="F31" s="21">
        <v>290393.59999999998</v>
      </c>
      <c r="G31" s="6">
        <f>1000</f>
        <v>1000</v>
      </c>
      <c r="H31" s="22">
        <f>SUMPRODUCT(N([TRADE] &lt;= Tabela1[[#This Row],[TRADE]]), [APORTE]) + SUMPRODUCT(N([TRADE] &lt;= Tabela1[[#This Row],[TRADE]]), [APORTE RF])</f>
        <v>24580</v>
      </c>
      <c r="I31" s="22">
        <f>[MONTANTE] - SUMPRODUCT(N([TRADE] &lt;= Tabela1[[#This Row],[TRADE]]), [SAQUE]) + SUMPRODUCT(N([TRADE] &lt; Tabela1[[#This Row],[TRADE]]), [REINVESTIR])</f>
        <v>343050.08000000007</v>
      </c>
      <c r="J31" s="22">
        <f>TRUNC([APLICAÇÃO]  * SETUP!$A$3, 2)</f>
        <v>126.92</v>
      </c>
      <c r="K31" s="22">
        <f>TRUNC([APLICAÇÃO]  * SETUP!$B$3, 2)</f>
        <v>94.33</v>
      </c>
      <c r="L31" s="22">
        <f>TRUNC([APLICAÇÃO]  * SETUP!$C$3, 2)</f>
        <v>238.41</v>
      </c>
      <c r="M31" s="22">
        <f>TRUNC(SETUP!$G$3  * SETUP!$H$3, 2)</f>
        <v>0.28999999999999998</v>
      </c>
      <c r="N31" s="22">
        <f>ROUND(SETUP!$G$3 * SETUP!$I$3, 2)</f>
        <v>0.57999999999999996</v>
      </c>
      <c r="O31" s="22">
        <f>SETUP!$G$3 + SUM(Tabela1[[#This Row],[EMOL CP]]:Tabela1[[#This Row],[OUTRAS CP]])</f>
        <v>475.42999999999995</v>
      </c>
      <c r="P31" s="22">
        <f>TRUNC([APLICAÇÃO] * 2  * SETUP!$A$3, 2)</f>
        <v>253.85</v>
      </c>
      <c r="Q31" s="22">
        <f>TRUNC([APLICAÇÃO] * 2  * SETUP!$B$3, 2)</f>
        <v>188.67</v>
      </c>
      <c r="R31" s="22">
        <f>TRUNC([APLICAÇÃO] * 2  * SETUP!$C$3, 2)</f>
        <v>476.83</v>
      </c>
      <c r="S31" s="22">
        <f>TRUNC(SETUP!$G$3  * SETUP!$H$3, 2)</f>
        <v>0.28999999999999998</v>
      </c>
      <c r="T31" s="22">
        <f>ROUND(SETUP!$G$3 * SETUP!$I$3, 2)</f>
        <v>0.57999999999999996</v>
      </c>
      <c r="U31" s="22">
        <f>SETUP!$G$3 + SUM(Tabela1[[#This Row],[EMOL VD]]:Tabela1[[#This Row],[OUTRAS VD]])</f>
        <v>935.11999999999989</v>
      </c>
      <c r="V31" s="22">
        <f>((([APLICAÇÃO] * 2) - [TAXA VD]) - ([APLICAÇÃO] + [TAXA CP])) * 0.85</f>
        <v>290393.60050000006</v>
      </c>
      <c r="W31" s="23">
        <f>[APLICAÇÃO] - (ROUND([RENDA FIXA] * 0.1,2))</f>
        <v>215662.05000000008</v>
      </c>
      <c r="X31" s="24">
        <f>Tabela1[[#This Row],[PERDA MAX]]/Tabela1[[#This Row],[APLICAÇÃO]]</f>
        <v>0.6286605442563955</v>
      </c>
      <c r="Y31" s="25">
        <f>IF([LUCRO] &lt; ([RENDA FIXA]/2), 0.8, 0.8)</f>
        <v>0.8</v>
      </c>
      <c r="Z31" s="22">
        <f>IF([LUCRO] &lt; 0, 0, ROUND([LUCRO]*[NO BOLSO], 2))</f>
        <v>232314.88</v>
      </c>
      <c r="AA31" s="22">
        <f>[LUCRO]-[PROTEÇÃO MÊS]</f>
        <v>58078.719999999972</v>
      </c>
      <c r="AB31" s="22">
        <f>[RENDA FIXA] + [PROTEÇÃO MÊS] - [APORTE RF]</f>
        <v>1506195.1600000001</v>
      </c>
      <c r="AC31" s="22">
        <f>[TOT RF] + [REINVESTIR] + [APLICAÇÃO]</f>
        <v>1907323.9600000002</v>
      </c>
    </row>
    <row r="32" spans="1:29">
      <c r="A32" s="1" t="s">
        <v>37</v>
      </c>
      <c r="C32" s="17"/>
      <c r="D32" s="17"/>
      <c r="E32" s="17"/>
      <c r="F32" s="17"/>
      <c r="G32" s="16">
        <f>SUBTOTAL(109,[APORTE])</f>
        <v>24580</v>
      </c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8"/>
      <c r="X32" s="17"/>
      <c r="Z32" s="17"/>
      <c r="AA32" s="16">
        <f>SUBTOTAL(109,[REINVESTIR])</f>
        <v>376548.80000000005</v>
      </c>
      <c r="AB32" s="17"/>
      <c r="AC32" s="16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/>
  <dimension ref="A1:AC5"/>
  <sheetViews>
    <sheetView tabSelected="1" workbookViewId="0">
      <selection activeCell="G4" sqref="G4"/>
    </sheetView>
  </sheetViews>
  <sheetFormatPr defaultRowHeight="11.25"/>
  <cols>
    <col min="1" max="1" width="7.5703125" style="1" bestFit="1" customWidth="1"/>
    <col min="2" max="2" width="6.85546875" style="26" bestFit="1" customWidth="1"/>
    <col min="3" max="3" width="11" style="1" bestFit="1" customWidth="1"/>
    <col min="4" max="4" width="10.140625" style="1" bestFit="1" customWidth="1"/>
    <col min="5" max="5" width="8.5703125" style="1" bestFit="1" customWidth="1"/>
    <col min="6" max="6" width="11.5703125" style="3" bestFit="1" customWidth="1"/>
    <col min="7" max="7" width="10.85546875" style="1" customWidth="1"/>
    <col min="8" max="8" width="12.85546875" style="1" hidden="1" customWidth="1"/>
    <col min="9" max="9" width="11.5703125" style="1" bestFit="1" customWidth="1"/>
    <col min="10" max="10" width="7.85546875" style="1" hidden="1" customWidth="1"/>
    <col min="11" max="11" width="7.140625" style="1" hidden="1" customWidth="1"/>
    <col min="12" max="12" width="10.5703125" style="1" hidden="1" customWidth="1"/>
    <col min="13" max="13" width="8.85546875" style="1" hidden="1" customWidth="1"/>
    <col min="14" max="19" width="9.140625" style="1" hidden="1" customWidth="1"/>
    <col min="20" max="20" width="11.42578125" style="1" hidden="1" customWidth="1"/>
    <col min="21" max="21" width="11.5703125" style="1" hidden="1" customWidth="1"/>
    <col min="22" max="22" width="11.42578125" style="12" bestFit="1" customWidth="1"/>
    <col min="23" max="23" width="11.5703125" style="1" bestFit="1" customWidth="1"/>
    <col min="24" max="24" width="9.140625" style="1" bestFit="1" customWidth="1"/>
    <col min="25" max="25" width="9.85546875" style="1" bestFit="1" customWidth="1"/>
    <col min="26" max="26" width="13.42578125" style="1" bestFit="1" customWidth="1"/>
    <col min="27" max="27" width="11.5703125" style="1" bestFit="1" customWidth="1"/>
    <col min="28" max="29" width="12.85546875" style="1" bestFit="1" customWidth="1"/>
    <col min="30" max="16384" width="9.140625" style="1"/>
  </cols>
  <sheetData>
    <row r="1" spans="1:29">
      <c r="A1" s="2" t="s">
        <v>30</v>
      </c>
      <c r="B1" s="30" t="s">
        <v>3</v>
      </c>
      <c r="C1" s="2" t="s">
        <v>7</v>
      </c>
      <c r="D1" s="2" t="s">
        <v>31</v>
      </c>
      <c r="E1" s="13" t="s">
        <v>35</v>
      </c>
      <c r="F1" s="13" t="s">
        <v>1</v>
      </c>
      <c r="G1" s="2" t="s">
        <v>0</v>
      </c>
      <c r="H1" s="2" t="s">
        <v>4</v>
      </c>
      <c r="I1" s="2" t="s">
        <v>6</v>
      </c>
      <c r="J1" s="2" t="s">
        <v>15</v>
      </c>
      <c r="K1" s="2" t="s">
        <v>16</v>
      </c>
      <c r="L1" s="2" t="s">
        <v>17</v>
      </c>
      <c r="M1" s="2" t="s">
        <v>21</v>
      </c>
      <c r="N1" s="2" t="s">
        <v>20</v>
      </c>
      <c r="O1" s="2" t="s">
        <v>19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29</v>
      </c>
      <c r="V1" s="2" t="s">
        <v>8</v>
      </c>
      <c r="W1" s="2" t="s">
        <v>33</v>
      </c>
      <c r="X1" s="2" t="s">
        <v>34</v>
      </c>
      <c r="Y1" s="2" t="s">
        <v>2</v>
      </c>
      <c r="Z1" s="2" t="s">
        <v>36</v>
      </c>
      <c r="AA1" s="2" t="s">
        <v>5</v>
      </c>
      <c r="AB1" s="2" t="s">
        <v>9</v>
      </c>
      <c r="AC1" s="2" t="s">
        <v>32</v>
      </c>
    </row>
    <row r="2" spans="1:29">
      <c r="A2" s="1">
        <v>1</v>
      </c>
      <c r="B2" s="26">
        <v>41000</v>
      </c>
      <c r="C2" s="3">
        <v>0</v>
      </c>
      <c r="D2" s="3">
        <v>0</v>
      </c>
      <c r="E2" s="3">
        <v>0</v>
      </c>
      <c r="F2" s="3">
        <v>0</v>
      </c>
      <c r="G2" s="3">
        <v>100</v>
      </c>
      <c r="H2" s="3">
        <f>SUMPRODUCT(N([TRADE] &lt;= Tabela13[[#This Row],[TRADE]]), [APORTE]) + SUMPRODUCT(N([TRADE] &lt;= Tabela13[[#This Row],[TRADE]]), [APORTE RF])</f>
        <v>100</v>
      </c>
      <c r="I2" s="3">
        <f>[MONTANTE] - SUMPRODUCT(N([TRADE] &lt;= Tabela13[[#This Row],[TRADE]]), [SAQUE]) + SUMPRODUCT(N([TRADE] &lt; Tabela13[[#This Row],[TRADE]]), [REINVESTIR])</f>
        <v>100</v>
      </c>
      <c r="J2" s="3">
        <f>TRUNC([APLICAÇÃO]  * SETUP!$A$3, 2)</f>
        <v>0.03</v>
      </c>
      <c r="K2" s="3">
        <f>TRUNC([APLICAÇÃO]  * SETUP!$B$3, 2)</f>
        <v>0.02</v>
      </c>
      <c r="L2" s="3">
        <f>TRUNC([APLICAÇÃO]  * SETUP!$C$3, 2)</f>
        <v>0.06</v>
      </c>
      <c r="M2" s="3">
        <f>TRUNC(SETUP!$G$3  * SETUP!$H$3, 2)</f>
        <v>0.28999999999999998</v>
      </c>
      <c r="N2" s="3">
        <f>ROUND(SETUP!$G$3 * SETUP!$I$3, 2)</f>
        <v>0.57999999999999996</v>
      </c>
      <c r="O2" s="3">
        <f>SETUP!$G$3 + SUM(Tabela13[[#This Row],[EMOL CP]]:Tabela13[[#This Row],[OUTRAS CP]])</f>
        <v>15.88</v>
      </c>
      <c r="P2" s="3">
        <f>TRUNC([APLICAÇÃO] * 2  * SETUP!$A$3, 2)</f>
        <v>7.0000000000000007E-2</v>
      </c>
      <c r="Q2" s="3">
        <f>TRUNC([APLICAÇÃO] * 2  * SETUP!$B$3, 2)</f>
        <v>0.05</v>
      </c>
      <c r="R2" s="3">
        <f>TRUNC([APLICAÇÃO] * 2  * SETUP!$C$3, 2)</f>
        <v>0.13</v>
      </c>
      <c r="S2" s="3">
        <f>TRUNC(SETUP!$G$3  * SETUP!$H$3, 2)</f>
        <v>0.28999999999999998</v>
      </c>
      <c r="T2" s="3">
        <f>ROUND(SETUP!$G$3 * SETUP!$I$3, 2)</f>
        <v>0.57999999999999996</v>
      </c>
      <c r="U2" s="3">
        <f>SETUP!$G$3 + SUM(Tabela13[[#This Row],[EMOL VD]]:Tabela13[[#This Row],[OUTRAS VD]])</f>
        <v>16.02</v>
      </c>
      <c r="V2" s="3">
        <f>((([APLICAÇÃO] * 2) - [TAXA VD]) - ([APLICAÇÃO] + [TAXA CP])) * 0.85</f>
        <v>57.884999999999991</v>
      </c>
      <c r="W2" s="11">
        <f>[APLICAÇÃO] - (ROUND([RENDA FIXA] * 0.1,2))</f>
        <v>100</v>
      </c>
      <c r="X2" s="4">
        <f>Tabela13[[#This Row],[PERDA MAX]]/Tabela13[[#This Row],[APLICAÇÃO]]</f>
        <v>1</v>
      </c>
      <c r="Y2" s="4">
        <f>IF([LUCRO] &lt; ([RENDA FIXA]/2), 0.8, 0.8)</f>
        <v>0.8</v>
      </c>
      <c r="Z2" s="3">
        <f>IF([LUCRO] &lt; 0, 0, ROUND([LUCRO]*[NO BOLSO], 2))</f>
        <v>0</v>
      </c>
      <c r="AA2" s="3">
        <f>[LUCRO]-[PROTEÇÃO MÊS]</f>
        <v>0</v>
      </c>
      <c r="AB2" s="3">
        <f>[RENDA FIXA] + [PROTEÇÃO MÊS] - [APORTE RF]</f>
        <v>0</v>
      </c>
      <c r="AC2" s="6">
        <f>[TOT RF] + [REINVESTIR] + [APLICAÇÃO]</f>
        <v>100</v>
      </c>
    </row>
    <row r="3" spans="1:29">
      <c r="A3" s="1">
        <v>2</v>
      </c>
      <c r="B3" s="26">
        <v>41030</v>
      </c>
      <c r="C3" s="3">
        <v>0</v>
      </c>
      <c r="D3" s="3">
        <v>0</v>
      </c>
      <c r="E3" s="3">
        <v>0</v>
      </c>
      <c r="F3" s="3">
        <v>491.56</v>
      </c>
      <c r="G3" s="3">
        <v>0</v>
      </c>
      <c r="H3" s="3">
        <f>SUMPRODUCT(N([TRADE] &lt;= Tabela13[[#This Row],[TRADE]]), [APORTE]) + SUMPRODUCT(N([TRADE] &lt;= Tabela13[[#This Row],[TRADE]]), [APORTE RF])</f>
        <v>100</v>
      </c>
      <c r="I3" s="3">
        <f>[MONTANTE] - SUMPRODUCT(N([TRADE] &lt;= Tabela13[[#This Row],[TRADE]]), [SAQUE]) + SUMPRODUCT(N([TRADE] &lt; Tabela13[[#This Row],[TRADE]]), [REINVESTIR])</f>
        <v>100</v>
      </c>
      <c r="J3" s="3">
        <f>TRUNC([APLICAÇÃO]  * SETUP!$A$3, 2)</f>
        <v>0.03</v>
      </c>
      <c r="K3" s="3">
        <f>TRUNC([APLICAÇÃO]  * SETUP!$B$3, 2)</f>
        <v>0.02</v>
      </c>
      <c r="L3" s="3">
        <f>TRUNC([APLICAÇÃO]  * SETUP!$C$3, 2)</f>
        <v>0.06</v>
      </c>
      <c r="M3" s="3">
        <f>TRUNC(SETUP!$G$3  * SETUP!$H$3, 2)</f>
        <v>0.28999999999999998</v>
      </c>
      <c r="N3" s="3">
        <f>ROUND(SETUP!$G$3 * SETUP!$I$3, 2)</f>
        <v>0.57999999999999996</v>
      </c>
      <c r="O3" s="3">
        <f>SETUP!$G$3 + SUM(Tabela13[[#This Row],[EMOL CP]]:Tabela13[[#This Row],[OUTRAS CP]])</f>
        <v>15.88</v>
      </c>
      <c r="P3" s="3">
        <f>TRUNC([APLICAÇÃO] * 2  * SETUP!$A$3, 2)</f>
        <v>7.0000000000000007E-2</v>
      </c>
      <c r="Q3" s="3">
        <f>TRUNC([APLICAÇÃO] * 2  * SETUP!$B$3, 2)</f>
        <v>0.05</v>
      </c>
      <c r="R3" s="3">
        <f>TRUNC([APLICAÇÃO] * 2  * SETUP!$C$3, 2)</f>
        <v>0.13</v>
      </c>
      <c r="S3" s="3">
        <f>TRUNC(SETUP!$G$3  * SETUP!$H$3, 2)</f>
        <v>0.28999999999999998</v>
      </c>
      <c r="T3" s="3">
        <f>ROUND(SETUP!$G$3 * SETUP!$I$3, 2)</f>
        <v>0.57999999999999996</v>
      </c>
      <c r="U3" s="3">
        <f>SETUP!$G$3 + SUM(Tabela13[[#This Row],[EMOL VD]]:Tabela13[[#This Row],[OUTRAS VD]])</f>
        <v>16.02</v>
      </c>
      <c r="V3" s="3">
        <f>((([APLICAÇÃO] * 2) - [TAXA VD]) - ([APLICAÇÃO] + [TAXA CP])) * 0.85</f>
        <v>57.884999999999991</v>
      </c>
      <c r="W3" s="11">
        <f>[APLICAÇÃO] - (ROUND([RENDA FIXA] * 0.1,2))</f>
        <v>100</v>
      </c>
      <c r="X3" s="4">
        <f>Tabela13[[#This Row],[PERDA MAX]]/Tabela13[[#This Row],[APLICAÇÃO]]</f>
        <v>1</v>
      </c>
      <c r="Y3" s="4">
        <f>IF([LUCRO] &lt; ([RENDA FIXA]/2), 0.8, 0.8)</f>
        <v>0.8</v>
      </c>
      <c r="Z3" s="3">
        <f>IF([LUCRO] &lt; 0, 0, ROUND([LUCRO]*[NO BOLSO], 2))</f>
        <v>393.25</v>
      </c>
      <c r="AA3" s="3">
        <f>[LUCRO]-[PROTEÇÃO MÊS]</f>
        <v>98.31</v>
      </c>
      <c r="AB3" s="3">
        <f>[RENDA FIXA] + [PROTEÇÃO MÊS] - [APORTE RF]</f>
        <v>393.25</v>
      </c>
      <c r="AC3" s="6">
        <f>[TOT RF] + [REINVESTIR] + [APLICAÇÃO]</f>
        <v>591.55999999999995</v>
      </c>
    </row>
    <row r="4" spans="1:29">
      <c r="A4" s="38">
        <v>3</v>
      </c>
      <c r="B4" s="26">
        <v>41061</v>
      </c>
      <c r="C4" s="39">
        <v>0</v>
      </c>
      <c r="D4" s="39">
        <v>0</v>
      </c>
      <c r="E4" s="39">
        <v>0</v>
      </c>
      <c r="F4" s="39">
        <v>0</v>
      </c>
      <c r="G4" s="40">
        <f>100</f>
        <v>100</v>
      </c>
      <c r="H4" s="40">
        <f>SUMPRODUCT(N([TRADE] &lt;= Tabela13[[#This Row],[TRADE]]), [APORTE]) + SUMPRODUCT(N([TRADE] &lt;= Tabela13[[#This Row],[TRADE]]), [APORTE RF])</f>
        <v>200</v>
      </c>
      <c r="I4" s="40">
        <f>[MONTANTE] - SUMPRODUCT(N([TRADE] &lt;= Tabela13[[#This Row],[TRADE]]), [SAQUE]) + SUMPRODUCT(N([TRADE] &lt; Tabela13[[#This Row],[TRADE]]), [REINVESTIR])</f>
        <v>298.31</v>
      </c>
      <c r="J4" s="40">
        <f>TRUNC([APLICAÇÃO]  * SETUP!$A$3, 2)</f>
        <v>0.11</v>
      </c>
      <c r="K4" s="40">
        <f>TRUNC([APLICAÇÃO]  * SETUP!$B$3, 2)</f>
        <v>0.08</v>
      </c>
      <c r="L4" s="40">
        <f>TRUNC([APLICAÇÃO]  * SETUP!$C$3, 2)</f>
        <v>0.2</v>
      </c>
      <c r="M4" s="40">
        <f>TRUNC(SETUP!$G$3  * SETUP!$H$3, 2)</f>
        <v>0.28999999999999998</v>
      </c>
      <c r="N4" s="40">
        <f>ROUND(SETUP!$G$3 * SETUP!$I$3, 2)</f>
        <v>0.57999999999999996</v>
      </c>
      <c r="O4" s="40">
        <f>SETUP!$G$3 + SUM(Tabela13[[#This Row],[EMOL CP]]:Tabela13[[#This Row],[OUTRAS CP]])</f>
        <v>16.16</v>
      </c>
      <c r="P4" s="40">
        <f>TRUNC([APLICAÇÃO] * 2  * SETUP!$A$3, 2)</f>
        <v>0.22</v>
      </c>
      <c r="Q4" s="40">
        <f>TRUNC([APLICAÇÃO] * 2  * SETUP!$B$3, 2)</f>
        <v>0.16</v>
      </c>
      <c r="R4" s="40">
        <f>TRUNC([APLICAÇÃO] * 2  * SETUP!$C$3, 2)</f>
        <v>0.41</v>
      </c>
      <c r="S4" s="40">
        <f>TRUNC(SETUP!$G$3  * SETUP!$H$3, 2)</f>
        <v>0.28999999999999998</v>
      </c>
      <c r="T4" s="40">
        <f>ROUND(SETUP!$G$3 * SETUP!$I$3, 2)</f>
        <v>0.57999999999999996</v>
      </c>
      <c r="U4" s="40">
        <f>SETUP!$G$3 + SUM(Tabela13[[#This Row],[EMOL VD]]:Tabela13[[#This Row],[OUTRAS VD]])</f>
        <v>16.560000000000002</v>
      </c>
      <c r="V4" s="40">
        <f>((([APLICAÇÃO] * 2) - [TAXA VD]) - ([APLICAÇÃO] + [TAXA CP])) * 0.85</f>
        <v>225.75149999999994</v>
      </c>
      <c r="W4" s="41">
        <f>[APLICAÇÃO] - (ROUND([RENDA FIXA] * 0.1,2))</f>
        <v>298.31</v>
      </c>
      <c r="X4" s="42">
        <f>Tabela13[[#This Row],[PERDA MAX]]/Tabela13[[#This Row],[APLICAÇÃO]]</f>
        <v>1</v>
      </c>
      <c r="Y4" s="43">
        <f>IF([LUCRO] &lt; ([RENDA FIXA]/2), 0.8, 0.8)</f>
        <v>0.8</v>
      </c>
      <c r="Z4" s="40">
        <f>IF([LUCRO] &lt; 0, 0, ROUND([LUCRO]*[NO BOLSO], 2))</f>
        <v>0</v>
      </c>
      <c r="AA4" s="40">
        <f>[LUCRO]-[PROTEÇÃO MÊS]</f>
        <v>0</v>
      </c>
      <c r="AB4" s="40">
        <f>[RENDA FIXA] + [PROTEÇÃO MÊS] - [APORTE RF]</f>
        <v>0</v>
      </c>
      <c r="AC4" s="40">
        <f>[TOT RF] + [REINVESTIR] + [APLICAÇÃO]</f>
        <v>298.31</v>
      </c>
    </row>
    <row r="5" spans="1:29">
      <c r="A5" s="33" t="s">
        <v>37</v>
      </c>
      <c r="B5" s="34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6"/>
      <c r="X5" s="35"/>
      <c r="Y5" s="33"/>
      <c r="Z5" s="35"/>
      <c r="AA5" s="35"/>
      <c r="AB5" s="35"/>
      <c r="AC5" s="37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AC4"/>
  <sheetViews>
    <sheetView workbookViewId="0">
      <selection activeCell="G12" sqref="G12"/>
    </sheetView>
  </sheetViews>
  <sheetFormatPr defaultRowHeight="11.25"/>
  <cols>
    <col min="1" max="1" width="7.5703125" style="1" bestFit="1" customWidth="1"/>
    <col min="2" max="2" width="9" style="1" bestFit="1" customWidth="1"/>
    <col min="3" max="3" width="11.5703125" style="1" bestFit="1" customWidth="1"/>
    <col min="4" max="4" width="10.140625" style="1" bestFit="1" customWidth="1"/>
    <col min="5" max="5" width="8.5703125" style="1" bestFit="1" customWidth="1"/>
    <col min="6" max="6" width="11.5703125" style="3" bestFit="1" customWidth="1"/>
    <col min="7" max="7" width="10.85546875" style="1" customWidth="1"/>
    <col min="8" max="8" width="12.85546875" style="1" hidden="1" customWidth="1"/>
    <col min="9" max="9" width="11.5703125" style="1" bestFit="1" customWidth="1"/>
    <col min="10" max="10" width="7.85546875" style="1" hidden="1" customWidth="1"/>
    <col min="11" max="11" width="7.140625" style="1" hidden="1" customWidth="1"/>
    <col min="12" max="12" width="10.5703125" style="1" hidden="1" customWidth="1"/>
    <col min="13" max="13" width="8.85546875" style="1" hidden="1" customWidth="1"/>
    <col min="14" max="19" width="9.140625" style="1" hidden="1" customWidth="1"/>
    <col min="20" max="20" width="11.42578125" style="1" hidden="1" customWidth="1"/>
    <col min="21" max="21" width="11.5703125" style="1" hidden="1" customWidth="1"/>
    <col min="22" max="22" width="11.42578125" style="12" bestFit="1" customWidth="1"/>
    <col min="23" max="23" width="11.5703125" style="1" bestFit="1" customWidth="1"/>
    <col min="24" max="24" width="9.140625" style="1" bestFit="1" customWidth="1"/>
    <col min="25" max="25" width="9.85546875" style="1" bestFit="1" customWidth="1"/>
    <col min="26" max="26" width="13.42578125" style="1" bestFit="1" customWidth="1"/>
    <col min="27" max="27" width="11.5703125" style="1" bestFit="1" customWidth="1"/>
    <col min="28" max="29" width="12.85546875" style="1" bestFit="1" customWidth="1"/>
    <col min="30" max="16384" width="9.140625" style="1"/>
  </cols>
  <sheetData>
    <row r="1" spans="1:29">
      <c r="A1" s="2" t="s">
        <v>30</v>
      </c>
      <c r="B1" s="2" t="s">
        <v>3</v>
      </c>
      <c r="C1" s="2" t="s">
        <v>7</v>
      </c>
      <c r="D1" s="2" t="s">
        <v>31</v>
      </c>
      <c r="E1" s="13" t="s">
        <v>35</v>
      </c>
      <c r="F1" s="13" t="s">
        <v>1</v>
      </c>
      <c r="G1" s="2" t="s">
        <v>0</v>
      </c>
      <c r="H1" s="2" t="s">
        <v>4</v>
      </c>
      <c r="I1" s="2" t="s">
        <v>6</v>
      </c>
      <c r="J1" s="2" t="s">
        <v>15</v>
      </c>
      <c r="K1" s="2" t="s">
        <v>16</v>
      </c>
      <c r="L1" s="2" t="s">
        <v>17</v>
      </c>
      <c r="M1" s="2" t="s">
        <v>21</v>
      </c>
      <c r="N1" s="2" t="s">
        <v>20</v>
      </c>
      <c r="O1" s="2" t="s">
        <v>19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29</v>
      </c>
      <c r="V1" s="2" t="s">
        <v>8</v>
      </c>
      <c r="W1" s="2" t="s">
        <v>33</v>
      </c>
      <c r="X1" s="2" t="s">
        <v>34</v>
      </c>
      <c r="Y1" s="2" t="s">
        <v>2</v>
      </c>
      <c r="Z1" s="2" t="s">
        <v>36</v>
      </c>
      <c r="AA1" s="2" t="s">
        <v>5</v>
      </c>
      <c r="AB1" s="2" t="s">
        <v>9</v>
      </c>
      <c r="AC1" s="2" t="s">
        <v>32</v>
      </c>
    </row>
    <row r="2" spans="1:29">
      <c r="A2" s="1">
        <v>1</v>
      </c>
      <c r="B2" s="5">
        <v>41000</v>
      </c>
      <c r="C2" s="3">
        <v>0</v>
      </c>
      <c r="D2" s="3">
        <v>0</v>
      </c>
      <c r="E2" s="3">
        <v>0</v>
      </c>
      <c r="G2" s="3">
        <f>100</f>
        <v>100</v>
      </c>
      <c r="H2" s="3">
        <f>SUMPRODUCT(N([TRADE] &lt;= Tabela134[[#This Row],[TRADE]]), [APORTE]) + SUMPRODUCT(N([TRADE] &lt;= Tabela134[[#This Row],[TRADE]]), [APORTE RF])</f>
        <v>100</v>
      </c>
      <c r="I2" s="3">
        <f>[MONTANTE] - SUMPRODUCT(N([TRADE] &lt;= Tabela134[[#This Row],[TRADE]]), [SAQUE]) + SUMPRODUCT(N([TRADE] &lt; Tabela134[[#This Row],[TRADE]]), [REINVESTIR])</f>
        <v>100</v>
      </c>
      <c r="J2" s="3">
        <f>TRUNC([APLICAÇÃO]  * SETUP!$A$3, 2)</f>
        <v>0.03</v>
      </c>
      <c r="K2" s="3">
        <f>TRUNC([APLICAÇÃO]  * SETUP!$B$3, 2)</f>
        <v>0.02</v>
      </c>
      <c r="L2" s="3">
        <f>TRUNC([APLICAÇÃO]  * SETUP!$C$3, 2)</f>
        <v>0.06</v>
      </c>
      <c r="M2" s="3">
        <f>TRUNC(SETUP!$G$3  * SETUP!$H$3, 2)</f>
        <v>0.28999999999999998</v>
      </c>
      <c r="N2" s="3">
        <f>ROUND(SETUP!$G$3 * SETUP!$I$3, 2)</f>
        <v>0.57999999999999996</v>
      </c>
      <c r="O2" s="3">
        <f>SETUP!$G$3 + SUM(Tabela134[[#This Row],[EMOL CP]]:Tabela134[[#This Row],[OUTRAS CP]])</f>
        <v>15.88</v>
      </c>
      <c r="P2" s="3">
        <f>TRUNC([APLICAÇÃO] * 2  * SETUP!$A$3, 2)</f>
        <v>7.0000000000000007E-2</v>
      </c>
      <c r="Q2" s="3">
        <f>TRUNC([APLICAÇÃO] * 2  * SETUP!$B$3, 2)</f>
        <v>0.05</v>
      </c>
      <c r="R2" s="3">
        <f>TRUNC([APLICAÇÃO] * 2  * SETUP!$C$3, 2)</f>
        <v>0.13</v>
      </c>
      <c r="S2" s="3">
        <f>TRUNC(SETUP!$G$3  * SETUP!$H$3, 2)</f>
        <v>0.28999999999999998</v>
      </c>
      <c r="T2" s="3">
        <f>ROUND(SETUP!$G$3 * SETUP!$I$3, 2)</f>
        <v>0.57999999999999996</v>
      </c>
      <c r="U2" s="3">
        <f>SETUP!$G$3 + SUM(Tabela134[[#This Row],[EMOL VD]]:Tabela134[[#This Row],[OUTRAS VD]])</f>
        <v>16.02</v>
      </c>
      <c r="V2" s="3">
        <f>((([APLICAÇÃO] * 2) - [TAXA VD]) - ([APLICAÇÃO] + [TAXA CP])) * 0.85</f>
        <v>57.884999999999991</v>
      </c>
      <c r="W2" s="11">
        <f>[APLICAÇÃO] - (ROUND([RENDA FIXA] * 0.1,2))</f>
        <v>100</v>
      </c>
      <c r="X2" s="4">
        <f>Tabela134[[#This Row],[PERDA MAX]]/Tabela134[[#This Row],[APLICAÇÃO]]</f>
        <v>1</v>
      </c>
      <c r="Y2" s="4">
        <f>IF([LUCRO] &lt; ([RENDA FIXA]/2), 0.8, 0.8)</f>
        <v>0.8</v>
      </c>
      <c r="Z2" s="3">
        <f>IF([LUCRO] &lt; 0, 0, ROUND([LUCRO]*[NO BOLSO], 2))</f>
        <v>0</v>
      </c>
      <c r="AA2" s="3">
        <f>[LUCRO]-[PROTEÇÃO MÊS]</f>
        <v>0</v>
      </c>
      <c r="AB2" s="3">
        <f>[RENDA FIXA] + [PROTEÇÃO MÊS] - [APORTE RF]</f>
        <v>0</v>
      </c>
      <c r="AC2" s="6">
        <f>[TOT RF] + [REINVESTIR] + [APLICAÇÃO]</f>
        <v>100</v>
      </c>
    </row>
    <row r="3" spans="1:29">
      <c r="A3" s="1">
        <v>2</v>
      </c>
      <c r="B3" s="5">
        <v>41030</v>
      </c>
      <c r="C3" s="3">
        <v>0</v>
      </c>
      <c r="D3" s="3"/>
      <c r="E3" s="3"/>
      <c r="F3" s="3">
        <v>-59.79</v>
      </c>
      <c r="G3" s="6">
        <v>0</v>
      </c>
      <c r="H3" s="6">
        <f>SUMPRODUCT(N([TRADE] &lt;= Tabela134[[#This Row],[TRADE]]), [APORTE]) + SUMPRODUCT(N([TRADE] &lt;= Tabela134[[#This Row],[TRADE]]), [APORTE RF])</f>
        <v>100</v>
      </c>
      <c r="I3" s="6">
        <f>[MONTANTE] - SUMPRODUCT(N([TRADE] &lt;= Tabela134[[#This Row],[TRADE]]), [SAQUE]) + SUMPRODUCT(N([TRADE] &lt; Tabela134[[#This Row],[TRADE]]), [REINVESTIR])</f>
        <v>100</v>
      </c>
      <c r="J3" s="6">
        <f>TRUNC([APLICAÇÃO]  * SETUP!$A$3, 2)</f>
        <v>0.03</v>
      </c>
      <c r="K3" s="6">
        <f>TRUNC([APLICAÇÃO]  * SETUP!$B$3, 2)</f>
        <v>0.02</v>
      </c>
      <c r="L3" s="6">
        <f>TRUNC([APLICAÇÃO]  * SETUP!$C$3, 2)</f>
        <v>0.06</v>
      </c>
      <c r="M3" s="6">
        <f>TRUNC(SETUP!$G$3  * SETUP!$H$3, 2)</f>
        <v>0.28999999999999998</v>
      </c>
      <c r="N3" s="6">
        <f>ROUND(SETUP!$G$3 * SETUP!$I$3, 2)</f>
        <v>0.57999999999999996</v>
      </c>
      <c r="O3" s="6">
        <f>SETUP!$G$3 + SUM(Tabela134[[#This Row],[EMOL CP]]:Tabela134[[#This Row],[OUTRAS CP]])</f>
        <v>15.88</v>
      </c>
      <c r="P3" s="6">
        <f>TRUNC([APLICAÇÃO] * 2  * SETUP!$A$3, 2)</f>
        <v>7.0000000000000007E-2</v>
      </c>
      <c r="Q3" s="6">
        <f>TRUNC([APLICAÇÃO] * 2  * SETUP!$B$3, 2)</f>
        <v>0.05</v>
      </c>
      <c r="R3" s="6">
        <f>TRUNC([APLICAÇÃO] * 2  * SETUP!$C$3, 2)</f>
        <v>0.13</v>
      </c>
      <c r="S3" s="6">
        <f>TRUNC(SETUP!$G$3  * SETUP!$H$3, 2)</f>
        <v>0.28999999999999998</v>
      </c>
      <c r="T3" s="6">
        <f>ROUND(SETUP!$G$3 * SETUP!$I$3, 2)</f>
        <v>0.57999999999999996</v>
      </c>
      <c r="U3" s="6">
        <f>SETUP!$G$3 + SUM(Tabela134[[#This Row],[EMOL VD]]:Tabela134[[#This Row],[OUTRAS VD]])</f>
        <v>16.02</v>
      </c>
      <c r="V3" s="6">
        <f>((([APLICAÇÃO] * 2) - [TAXA VD]) - ([APLICAÇÃO] + [TAXA CP])) * 0.85</f>
        <v>57.884999999999991</v>
      </c>
      <c r="W3" s="14">
        <f>[APLICAÇÃO] - (ROUND([RENDA FIXA] * 0.1,2))</f>
        <v>100</v>
      </c>
      <c r="X3" s="4">
        <f>Tabela134[[#This Row],[PERDA MAX]]/Tabela134[[#This Row],[APLICAÇÃO]]</f>
        <v>1</v>
      </c>
      <c r="Y3" s="15">
        <f>IF([LUCRO] &lt; ([RENDA FIXA]/2), 0.8, 0.8)</f>
        <v>0.8</v>
      </c>
      <c r="Z3" s="6">
        <f>IF([LUCRO] &lt; 0, 0, ROUND([LUCRO]*[NO BOLSO], 2))</f>
        <v>0</v>
      </c>
      <c r="AA3" s="6">
        <f>[LUCRO]-[PROTEÇÃO MÊS]</f>
        <v>-59.79</v>
      </c>
      <c r="AB3" s="6">
        <f>[RENDA FIXA] + [PROTEÇÃO MÊS] - [APORTE RF]</f>
        <v>0</v>
      </c>
      <c r="AC3" s="6">
        <f>[TOT RF] + [REINVESTIR] + [APLICAÇÃO]</f>
        <v>40.21</v>
      </c>
    </row>
    <row r="4" spans="1:29">
      <c r="A4" s="1" t="s">
        <v>37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8"/>
      <c r="X4" s="17"/>
      <c r="Z4" s="17"/>
      <c r="AA4" s="17"/>
      <c r="AB4" s="17"/>
      <c r="AC4" s="16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2"/>
  <dimension ref="A1:I3"/>
  <sheetViews>
    <sheetView workbookViewId="0">
      <selection activeCell="G5" sqref="G5"/>
    </sheetView>
  </sheetViews>
  <sheetFormatPr defaultRowHeight="11.25"/>
  <cols>
    <col min="1" max="2" width="6.85546875" style="1" bestFit="1" customWidth="1"/>
    <col min="3" max="3" width="7.28515625" style="1" bestFit="1" customWidth="1"/>
    <col min="4" max="5" width="6.85546875" style="1" bestFit="1" customWidth="1"/>
    <col min="6" max="6" width="7.28515625" style="1" bestFit="1" customWidth="1"/>
    <col min="7" max="7" width="11.7109375" style="1" bestFit="1" customWidth="1"/>
    <col min="8" max="8" width="5.42578125" style="1" bestFit="1" customWidth="1"/>
    <col min="9" max="9" width="7.28515625" style="1" bestFit="1" customWidth="1"/>
    <col min="10" max="16384" width="9.140625" style="1"/>
  </cols>
  <sheetData>
    <row r="1" spans="1:9">
      <c r="A1" s="31" t="s">
        <v>10</v>
      </c>
      <c r="B1" s="31"/>
      <c r="C1" s="31"/>
      <c r="D1" s="31" t="s">
        <v>11</v>
      </c>
      <c r="E1" s="31"/>
      <c r="F1" s="31"/>
      <c r="G1" s="32" t="s">
        <v>22</v>
      </c>
      <c r="H1" s="32" t="s">
        <v>18</v>
      </c>
      <c r="I1" s="32" t="s">
        <v>23</v>
      </c>
    </row>
    <row r="2" spans="1:9">
      <c r="A2" s="7" t="s">
        <v>12</v>
      </c>
      <c r="B2" s="7" t="s">
        <v>13</v>
      </c>
      <c r="C2" s="7" t="s">
        <v>14</v>
      </c>
      <c r="D2" s="7" t="s">
        <v>12</v>
      </c>
      <c r="E2" s="7" t="s">
        <v>13</v>
      </c>
      <c r="F2" s="7" t="s">
        <v>14</v>
      </c>
      <c r="G2" s="32"/>
      <c r="H2" s="32"/>
      <c r="I2" s="32"/>
    </row>
    <row r="3" spans="1:9">
      <c r="A3" s="8">
        <v>3.6999999999999999E-4</v>
      </c>
      <c r="B3" s="8">
        <v>2.7499999999999996E-4</v>
      </c>
      <c r="C3" s="8">
        <v>6.9499999999999998E-4</v>
      </c>
      <c r="D3" s="8">
        <v>1.2E-4</v>
      </c>
      <c r="E3" s="8">
        <v>1.8000000000000001E-4</v>
      </c>
      <c r="F3" s="8">
        <v>1.4999999999999999E-4</v>
      </c>
      <c r="G3" s="9">
        <v>14.9</v>
      </c>
      <c r="H3" s="10">
        <v>0.02</v>
      </c>
      <c r="I3" s="10">
        <v>3.9E-2</v>
      </c>
    </row>
  </sheetData>
  <mergeCells count="5">
    <mergeCell ref="A1:C1"/>
    <mergeCell ref="D1:F1"/>
    <mergeCell ref="G1:G2"/>
    <mergeCell ref="H1:H2"/>
    <mergeCell ref="I1:I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C7" sqref="C7"/>
    </sheetView>
  </sheetViews>
  <sheetFormatPr defaultRowHeight="11.25"/>
  <cols>
    <col min="1" max="1" width="9.140625" style="26"/>
    <col min="2" max="2" width="10.5703125" style="3" bestFit="1" customWidth="1"/>
    <col min="3" max="16384" width="9.140625" style="1"/>
  </cols>
  <sheetData>
    <row r="1" spans="1:2" s="29" customFormat="1">
      <c r="A1" s="27" t="s">
        <v>3</v>
      </c>
      <c r="B1" s="28" t="s">
        <v>38</v>
      </c>
    </row>
    <row r="2" spans="1:2">
      <c r="A2" s="26">
        <f>VOLATILIDADE!B2</f>
        <v>41000</v>
      </c>
      <c r="B2" s="3">
        <f>Tabela13[[#This Row],[PROTEÇÃO MÊS]]+Tabela134[[#This Row],[PROTEÇÃO MÊS]]+Tabela1[[#This Row],[PROTEÇÃO MÊS]]</f>
        <v>293.5</v>
      </c>
    </row>
    <row r="3" spans="1:2">
      <c r="A3" s="26">
        <f>VOLATILIDADE!B3</f>
        <v>41030</v>
      </c>
      <c r="B3" s="3">
        <f>Tabela13[[#This Row],[PROTEÇÃO MÊS]]+Tabela134[[#This Row],[PROTEÇÃO MÊS]]+Tabela1[[#This Row],[PROTEÇÃO MÊS]]</f>
        <v>393.25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VOLATILIDADE</vt:lpstr>
      <vt:lpstr>TRAVA</vt:lpstr>
      <vt:lpstr>TENDENCIA</vt:lpstr>
      <vt:lpstr>SETUP</vt:lpstr>
      <vt:lpstr>RESUMO DE PROTEÇÃO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2012-03-16T22:49:23Z</dcterms:created>
  <dcterms:modified xsi:type="dcterms:W3CDTF">2012-05-22T17:35:03Z</dcterms:modified>
</cp:coreProperties>
</file>