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6380" windowHeight="7890" tabRatio="648"/>
  </bookViews>
  <sheets>
    <sheet name="NOTAS" sheetId="1" r:id="rId1"/>
    <sheet name="VOLAT-TENDENCIA" sheetId="3" r:id="rId2"/>
    <sheet name="TRAVA BAIXA NEW" sheetId="6" r:id="rId3"/>
    <sheet name="BORBOLETA" sheetId="5" r:id="rId4"/>
    <sheet name="TRAVA BAIXA" sheetId="4" r:id="rId5"/>
    <sheet name="SETUP" sheetId="2" r:id="rId6"/>
    <sheet name="Plan1" sheetId="7" r:id="rId7"/>
  </sheets>
  <calcPr calcId="124519"/>
</workbook>
</file>

<file path=xl/calcChain.xml><?xml version="1.0" encoding="utf-8"?>
<calcChain xmlns="http://schemas.openxmlformats.org/spreadsheetml/2006/main">
  <c r="M2" i="4"/>
  <c r="M3"/>
  <c r="M4"/>
  <c r="M5"/>
  <c r="M6"/>
  <c r="M7"/>
  <c r="L2"/>
  <c r="L3"/>
  <c r="L4"/>
  <c r="L5"/>
  <c r="L6"/>
  <c r="L7"/>
  <c r="I51" i="1"/>
  <c r="J51"/>
  <c r="L51"/>
  <c r="Q51"/>
  <c r="R51"/>
  <c r="S51"/>
  <c r="U51"/>
  <c r="Y51"/>
  <c r="Z51"/>
  <c r="I50"/>
  <c r="J50"/>
  <c r="L50"/>
  <c r="Q50"/>
  <c r="R50"/>
  <c r="S50"/>
  <c r="U50"/>
  <c r="Y50"/>
  <c r="Z50"/>
  <c r="AE50"/>
  <c r="AF50"/>
  <c r="AG50"/>
  <c r="AH50"/>
  <c r="AI50"/>
  <c r="AJ50"/>
  <c r="AK50"/>
  <c r="AL50"/>
  <c r="I47"/>
  <c r="J47"/>
  <c r="L47"/>
  <c r="Q47"/>
  <c r="R47"/>
  <c r="S47"/>
  <c r="U47"/>
  <c r="Y47"/>
  <c r="Z47"/>
  <c r="AB47"/>
  <c r="I46"/>
  <c r="J46"/>
  <c r="L46"/>
  <c r="Q46"/>
  <c r="R46"/>
  <c r="S46"/>
  <c r="U46"/>
  <c r="Y46"/>
  <c r="Z46"/>
  <c r="AA46"/>
  <c r="I2" i="7"/>
  <c r="I3"/>
  <c r="I4"/>
  <c r="K2"/>
  <c r="K3"/>
  <c r="K4"/>
  <c r="N4"/>
  <c r="J4"/>
  <c r="M4"/>
  <c r="N3"/>
  <c r="J3"/>
  <c r="M3"/>
  <c r="N2"/>
  <c r="J2"/>
  <c r="M2"/>
  <c r="H7" i="4"/>
  <c r="I7"/>
  <c r="J7"/>
  <c r="K7"/>
  <c r="N7"/>
  <c r="O7"/>
  <c r="H6"/>
  <c r="I6"/>
  <c r="J6"/>
  <c r="K6"/>
  <c r="N6"/>
  <c r="O6"/>
  <c r="M2" i="6"/>
  <c r="L2"/>
  <c r="H4"/>
  <c r="M4" s="1"/>
  <c r="I4"/>
  <c r="K4"/>
  <c r="J4" s="1"/>
  <c r="L4" s="1"/>
  <c r="N4"/>
  <c r="L2" i="7" l="1"/>
  <c r="O2" s="1"/>
  <c r="L3"/>
  <c r="O3" s="1"/>
  <c r="L4"/>
  <c r="O4" s="1"/>
  <c r="O4" i="6"/>
  <c r="H3" l="1"/>
  <c r="M3" s="1"/>
  <c r="I3"/>
  <c r="K3"/>
  <c r="J3" s="1"/>
  <c r="L3" s="1"/>
  <c r="N3"/>
  <c r="F11" i="3"/>
  <c r="G11"/>
  <c r="H11"/>
  <c r="I11"/>
  <c r="J11"/>
  <c r="F10"/>
  <c r="G10"/>
  <c r="H10"/>
  <c r="I10"/>
  <c r="J10"/>
  <c r="O3" i="6" l="1"/>
  <c r="F9" i="3" l="1"/>
  <c r="G9"/>
  <c r="H9"/>
  <c r="I9"/>
  <c r="J9"/>
  <c r="E3"/>
  <c r="E4"/>
  <c r="E5"/>
  <c r="E6"/>
  <c r="E7"/>
  <c r="I2" i="6"/>
  <c r="H2"/>
  <c r="N2"/>
  <c r="K2" l="1"/>
  <c r="J2" s="1"/>
  <c r="O2" l="1"/>
  <c r="I49" i="1" l="1"/>
  <c r="J49"/>
  <c r="L49"/>
  <c r="Q49"/>
  <c r="R49"/>
  <c r="S49"/>
  <c r="U49"/>
  <c r="Y49"/>
  <c r="Z49"/>
  <c r="I48"/>
  <c r="J48"/>
  <c r="L48"/>
  <c r="Q48"/>
  <c r="R48"/>
  <c r="S48"/>
  <c r="U48"/>
  <c r="Y48"/>
  <c r="Z48"/>
  <c r="AE48"/>
  <c r="AF48"/>
  <c r="AG48"/>
  <c r="AH48"/>
  <c r="AI48"/>
  <c r="AJ48"/>
  <c r="AK48"/>
  <c r="AL48"/>
  <c r="I39"/>
  <c r="J39"/>
  <c r="L39"/>
  <c r="Q39"/>
  <c r="R39"/>
  <c r="S39"/>
  <c r="U39"/>
  <c r="Y39"/>
  <c r="Z39"/>
  <c r="AA39"/>
  <c r="I38"/>
  <c r="J38"/>
  <c r="L38"/>
  <c r="Q38"/>
  <c r="R38"/>
  <c r="S38"/>
  <c r="U38"/>
  <c r="Y38"/>
  <c r="Z38"/>
  <c r="AB38"/>
  <c r="AE38"/>
  <c r="AF38"/>
  <c r="AG38"/>
  <c r="AH38"/>
  <c r="AI38"/>
  <c r="AJ38"/>
  <c r="AK38"/>
  <c r="AL38"/>
  <c r="H5" i="4" l="1"/>
  <c r="I5"/>
  <c r="J5"/>
  <c r="K5"/>
  <c r="N5"/>
  <c r="I45" i="1"/>
  <c r="J45"/>
  <c r="L45"/>
  <c r="Q45"/>
  <c r="R45"/>
  <c r="S45"/>
  <c r="U45"/>
  <c r="Y45"/>
  <c r="Z45"/>
  <c r="I41"/>
  <c r="J41"/>
  <c r="L41"/>
  <c r="Q41"/>
  <c r="R41"/>
  <c r="S41"/>
  <c r="U41"/>
  <c r="Y41"/>
  <c r="Z41"/>
  <c r="I37"/>
  <c r="J37"/>
  <c r="L37"/>
  <c r="Q37"/>
  <c r="R37"/>
  <c r="S37"/>
  <c r="U37"/>
  <c r="Y37"/>
  <c r="Z37"/>
  <c r="AB37"/>
  <c r="I36"/>
  <c r="J36"/>
  <c r="L36"/>
  <c r="Q36"/>
  <c r="R36"/>
  <c r="S36"/>
  <c r="U36"/>
  <c r="Y36"/>
  <c r="Z36"/>
  <c r="AA36"/>
  <c r="AE36"/>
  <c r="AF36"/>
  <c r="AG36"/>
  <c r="AH36"/>
  <c r="AI36"/>
  <c r="AJ36"/>
  <c r="AK36"/>
  <c r="AL36"/>
  <c r="F8" i="3"/>
  <c r="G8"/>
  <c r="H8"/>
  <c r="I8"/>
  <c r="J8"/>
  <c r="F7" l="1"/>
  <c r="G7" s="1"/>
  <c r="J7" s="1"/>
  <c r="H7"/>
  <c r="I7"/>
  <c r="H4" i="4"/>
  <c r="I4"/>
  <c r="J4" s="1"/>
  <c r="K4" s="1"/>
  <c r="N4"/>
  <c r="O5" l="1"/>
  <c r="O4"/>
  <c r="J2" i="5"/>
  <c r="K2"/>
  <c r="L2"/>
  <c r="U2"/>
  <c r="H2" i="4"/>
  <c r="H3"/>
  <c r="N2"/>
  <c r="N3"/>
  <c r="I2"/>
  <c r="I3"/>
  <c r="F6" i="3"/>
  <c r="G6" s="1"/>
  <c r="J6" s="1"/>
  <c r="H6"/>
  <c r="M2" i="5" l="1"/>
  <c r="N2" s="1"/>
  <c r="O2" s="1"/>
  <c r="I6" i="3"/>
  <c r="F5"/>
  <c r="G5" s="1"/>
  <c r="J5" s="1"/>
  <c r="H5"/>
  <c r="I5" s="1"/>
  <c r="F4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Q2" i="5" l="1"/>
  <c r="P2"/>
  <c r="R2"/>
  <c r="S2"/>
  <c r="T2"/>
  <c r="J3" i="3"/>
  <c r="V2" i="5" l="1"/>
  <c r="J3" i="4"/>
  <c r="K3" s="1"/>
  <c r="O3" l="1"/>
  <c r="I43" i="1" l="1"/>
  <c r="J43" s="1"/>
  <c r="L43"/>
  <c r="Y43" s="1"/>
  <c r="Q43"/>
  <c r="R43" s="1"/>
  <c r="U43"/>
  <c r="Z43"/>
  <c r="I40"/>
  <c r="J40" s="1"/>
  <c r="L40"/>
  <c r="Q40"/>
  <c r="R40" s="1"/>
  <c r="U40"/>
  <c r="Y40"/>
  <c r="Z40"/>
  <c r="I44"/>
  <c r="J44" s="1"/>
  <c r="L44"/>
  <c r="Y44" s="1"/>
  <c r="Q44"/>
  <c r="R44" s="1"/>
  <c r="U44"/>
  <c r="Z44"/>
  <c r="AE44"/>
  <c r="AF44"/>
  <c r="AH44" s="1"/>
  <c r="AG44"/>
  <c r="AI44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3" l="1"/>
  <c r="S44"/>
  <c r="S40"/>
  <c r="AJ44"/>
  <c r="AK44" s="1"/>
  <c r="AL44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2"/>
  <c r="AH42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J2" i="4"/>
  <c r="K2" s="1"/>
  <c r="AA29" i="1"/>
  <c r="Y21"/>
  <c r="Y2"/>
  <c r="Y3"/>
  <c r="Y4"/>
  <c r="Y7"/>
  <c r="Y9"/>
  <c r="Y11"/>
  <c r="Y12"/>
  <c r="Y16"/>
  <c r="Y17"/>
  <c r="Y20"/>
  <c r="Y22"/>
  <c r="Y25"/>
  <c r="Y28"/>
  <c r="Y30"/>
  <c r="Y35"/>
  <c r="I42"/>
  <c r="J42" s="1"/>
  <c r="L42"/>
  <c r="Q42"/>
  <c r="R42" s="1"/>
  <c r="U42"/>
  <c r="Z42"/>
  <c r="AE42"/>
  <c r="AG42"/>
  <c r="AI42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Y42" l="1"/>
  <c r="S32"/>
  <c r="S31"/>
  <c r="AJ31"/>
  <c r="AK31" s="1"/>
  <c r="AL31" s="1"/>
  <c r="S29"/>
  <c r="S30"/>
  <c r="AJ42"/>
  <c r="AK42" s="1"/>
  <c r="AL42" s="1"/>
  <c r="S28"/>
  <c r="AI28"/>
  <c r="AJ28" s="1"/>
  <c r="AK28" s="1"/>
  <c r="AL28" s="1"/>
  <c r="AI29"/>
  <c r="AJ29" s="1"/>
  <c r="AK29" s="1"/>
  <c r="AL29" s="1"/>
  <c r="S35"/>
  <c r="S42"/>
  <c r="F2" i="3"/>
  <c r="G2" s="1"/>
  <c r="H2"/>
  <c r="I2" s="1"/>
  <c r="J2" l="1"/>
  <c r="O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52"/>
  <c r="G52" s="1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50" l="1"/>
  <c r="K51"/>
  <c r="M51"/>
  <c r="N51"/>
  <c r="O51"/>
  <c r="P51"/>
  <c r="M50"/>
  <c r="N50"/>
  <c r="O50"/>
  <c r="P50"/>
  <c r="K46"/>
  <c r="K47"/>
  <c r="M47"/>
  <c r="N47"/>
  <c r="O47"/>
  <c r="P47"/>
  <c r="M46"/>
  <c r="N46"/>
  <c r="O46"/>
  <c r="P46"/>
  <c r="K48"/>
  <c r="K49"/>
  <c r="M49"/>
  <c r="N49"/>
  <c r="O49"/>
  <c r="P49"/>
  <c r="M48"/>
  <c r="N48"/>
  <c r="O48"/>
  <c r="P48"/>
  <c r="K38"/>
  <c r="K39"/>
  <c r="M39"/>
  <c r="N39"/>
  <c r="O39"/>
  <c r="P39"/>
  <c r="M38"/>
  <c r="N38"/>
  <c r="O38"/>
  <c r="P38"/>
  <c r="K41"/>
  <c r="K45"/>
  <c r="M45"/>
  <c r="N45"/>
  <c r="O45"/>
  <c r="P45"/>
  <c r="M41"/>
  <c r="N41"/>
  <c r="O41"/>
  <c r="P41"/>
  <c r="K36"/>
  <c r="K37"/>
  <c r="M37"/>
  <c r="N37"/>
  <c r="O37"/>
  <c r="P37"/>
  <c r="M36"/>
  <c r="N36"/>
  <c r="O36"/>
  <c r="P36"/>
  <c r="N15"/>
  <c r="N31"/>
  <c r="N8"/>
  <c r="N24"/>
  <c r="N5"/>
  <c r="N21"/>
  <c r="N44"/>
  <c r="N14"/>
  <c r="N30"/>
  <c r="N3"/>
  <c r="N19"/>
  <c r="N42"/>
  <c r="N12"/>
  <c r="N28"/>
  <c r="N9"/>
  <c r="N25"/>
  <c r="N2"/>
  <c r="N18"/>
  <c r="N34"/>
  <c r="N7"/>
  <c r="N23"/>
  <c r="N43"/>
  <c r="N16"/>
  <c r="N32"/>
  <c r="N13"/>
  <c r="N29"/>
  <c r="N6"/>
  <c r="N22"/>
  <c r="N40"/>
  <c r="N11"/>
  <c r="N27"/>
  <c r="N4"/>
  <c r="N20"/>
  <c r="N35"/>
  <c r="N17"/>
  <c r="N33"/>
  <c r="N10"/>
  <c r="N26"/>
  <c r="K43"/>
  <c r="M43"/>
  <c r="P43"/>
  <c r="O43"/>
  <c r="M40"/>
  <c r="O40"/>
  <c r="P40"/>
  <c r="K44"/>
  <c r="K40"/>
  <c r="M44"/>
  <c r="O44"/>
  <c r="P44"/>
  <c r="M34"/>
  <c r="O34"/>
  <c r="P34"/>
  <c r="K33"/>
  <c r="K34"/>
  <c r="M33"/>
  <c r="P33"/>
  <c r="O33"/>
  <c r="M32"/>
  <c r="O32"/>
  <c r="P32"/>
  <c r="K31"/>
  <c r="K32"/>
  <c r="M31"/>
  <c r="O31"/>
  <c r="P31"/>
  <c r="K42"/>
  <c r="K35"/>
  <c r="M42"/>
  <c r="O42"/>
  <c r="P42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51" l="1"/>
  <c r="T50"/>
  <c r="T47"/>
  <c r="T46"/>
  <c r="T49"/>
  <c r="T48"/>
  <c r="T39"/>
  <c r="T38"/>
  <c r="T45"/>
  <c r="T41"/>
  <c r="T37"/>
  <c r="T36"/>
  <c r="T43"/>
  <c r="T40"/>
  <c r="T44"/>
  <c r="T34"/>
  <c r="T33"/>
  <c r="T32"/>
  <c r="T31"/>
  <c r="T35"/>
  <c r="T42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51" l="1"/>
  <c r="V50"/>
  <c r="V47"/>
  <c r="V46"/>
  <c r="V49"/>
  <c r="V48"/>
  <c r="V39"/>
  <c r="V38"/>
  <c r="V45"/>
  <c r="V41"/>
  <c r="V36"/>
  <c r="V37"/>
  <c r="V43"/>
  <c r="V44"/>
  <c r="V40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2"/>
  <c r="V35"/>
  <c r="AJ18"/>
  <c r="AK18" s="1"/>
  <c r="AL18" s="1"/>
  <c r="T4"/>
  <c r="V4" s="1"/>
  <c r="T2"/>
  <c r="Y52"/>
  <c r="V2" l="1"/>
  <c r="W50" l="1"/>
  <c r="X50" s="1"/>
  <c r="AB50" s="1"/>
  <c r="W51"/>
  <c r="X51" s="1"/>
  <c r="AA51" s="1"/>
  <c r="W46"/>
  <c r="X46" s="1"/>
  <c r="W47"/>
  <c r="X47" s="1"/>
  <c r="W48"/>
  <c r="X48" s="1"/>
  <c r="AB48" s="1"/>
  <c r="W49"/>
  <c r="X49" s="1"/>
  <c r="AA49" s="1"/>
  <c r="W38"/>
  <c r="X38" s="1"/>
  <c r="W39"/>
  <c r="X39" s="1"/>
  <c r="W41"/>
  <c r="X41" s="1"/>
  <c r="W45"/>
  <c r="X45" s="1"/>
  <c r="W36"/>
  <c r="X36" s="1"/>
  <c r="W37"/>
  <c r="X37" s="1"/>
  <c r="W40"/>
  <c r="X40" s="1"/>
  <c r="W43"/>
  <c r="X43" s="1"/>
  <c r="AB43" s="1"/>
  <c r="W34"/>
  <c r="X34" s="1"/>
  <c r="W44"/>
  <c r="X44" s="1"/>
  <c r="AB44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2"/>
  <c r="X42" s="1"/>
  <c r="AB42" s="1"/>
  <c r="W35"/>
  <c r="X35" s="1"/>
  <c r="AB51" l="1"/>
  <c r="AC51"/>
  <c r="AA50"/>
  <c r="AC50" s="1"/>
  <c r="AA47"/>
  <c r="AC47" s="1"/>
  <c r="AD47" s="1"/>
  <c r="AB46"/>
  <c r="AC46" s="1"/>
  <c r="AD46" s="1"/>
  <c r="AB49"/>
  <c r="AC49"/>
  <c r="AA48"/>
  <c r="AC48" s="1"/>
  <c r="AB39"/>
  <c r="AC39" s="1"/>
  <c r="AD39" s="1"/>
  <c r="AA38"/>
  <c r="AC38" s="1"/>
  <c r="AD38" s="1"/>
  <c r="AB45"/>
  <c r="AA41"/>
  <c r="AA45"/>
  <c r="AC45" s="1"/>
  <c r="AB41"/>
  <c r="AC41" s="1"/>
  <c r="AA37"/>
  <c r="AC37" s="1"/>
  <c r="AD37" s="1"/>
  <c r="AB36"/>
  <c r="AC36" s="1"/>
  <c r="AD36" s="1"/>
  <c r="X2"/>
  <c r="AB29"/>
  <c r="AC29" s="1"/>
  <c r="AB35"/>
  <c r="AB40"/>
  <c r="AB34"/>
  <c r="AC34" s="1"/>
  <c r="AA40"/>
  <c r="AA43"/>
  <c r="AC43" s="1"/>
  <c r="AA44"/>
  <c r="AC44" s="1"/>
  <c r="AA33"/>
  <c r="AC33" s="1"/>
  <c r="AA32"/>
  <c r="AC32" s="1"/>
  <c r="AA31"/>
  <c r="AC31" s="1"/>
  <c r="AA2"/>
  <c r="AC2" s="1"/>
  <c r="AA42"/>
  <c r="AC42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35" l="1"/>
  <c r="AC40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50" l="1"/>
  <c r="AD51"/>
  <c r="AD48"/>
  <c r="AD49"/>
  <c r="AD41"/>
  <c r="AD45"/>
  <c r="AD25"/>
  <c r="AD28"/>
  <c r="AD12"/>
  <c r="AD2"/>
  <c r="AD9"/>
  <c r="AD11"/>
  <c r="AD17"/>
  <c r="AD20"/>
  <c r="AD4"/>
  <c r="AD7"/>
  <c r="AD22"/>
  <c r="AD30"/>
  <c r="AD33"/>
  <c r="AD16"/>
  <c r="AD32"/>
  <c r="AD3"/>
  <c r="AD43"/>
  <c r="AD40"/>
  <c r="AD44"/>
  <c r="AD31"/>
  <c r="AD42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51" l="1"/>
  <c r="AG51"/>
  <c r="AI51" s="1"/>
  <c r="AE47"/>
  <c r="AG47"/>
  <c r="AI47" s="1"/>
  <c r="AE46"/>
  <c r="AG46"/>
  <c r="AI46" s="1"/>
  <c r="AE41"/>
  <c r="AG41"/>
  <c r="AI41" s="1"/>
  <c r="AE39"/>
  <c r="AG39"/>
  <c r="AI39" s="1"/>
  <c r="AE49"/>
  <c r="AG49"/>
  <c r="AI49" s="1"/>
  <c r="AE45"/>
  <c r="AG45"/>
  <c r="AI45" s="1"/>
  <c r="AE37"/>
  <c r="AG37"/>
  <c r="AI37" s="1"/>
  <c r="AE40"/>
  <c r="AG40"/>
  <c r="AI40" s="1"/>
  <c r="AG35"/>
  <c r="AI35" s="1"/>
  <c r="AE35"/>
  <c r="AE43"/>
  <c r="AG43"/>
  <c r="AI43" s="1"/>
  <c r="AE34"/>
  <c r="AG34"/>
  <c r="AI34" s="1"/>
  <c r="AE32"/>
  <c r="AG32"/>
  <c r="AI32" s="1"/>
  <c r="AD52"/>
  <c r="H52" s="1"/>
  <c r="AG30"/>
  <c r="AI30" s="1"/>
  <c r="AE30"/>
  <c r="AE20"/>
  <c r="AG20"/>
  <c r="AI20" s="1"/>
  <c r="AJ16"/>
  <c r="AK16" s="1"/>
  <c r="AL16" s="1"/>
  <c r="AJ17"/>
  <c r="AK17" s="1"/>
  <c r="AL17" s="1"/>
  <c r="AF51" l="1"/>
  <c r="AH51" s="1"/>
  <c r="AJ51" s="1"/>
  <c r="AK51" s="1"/>
  <c r="AL51" s="1"/>
  <c r="AF47"/>
  <c r="AH47" s="1"/>
  <c r="AJ47" s="1"/>
  <c r="AK47" s="1"/>
  <c r="AL47" s="1"/>
  <c r="AF46"/>
  <c r="AH46" s="1"/>
  <c r="AJ46" s="1"/>
  <c r="AK46" s="1"/>
  <c r="AL46"/>
  <c r="AF41"/>
  <c r="AH41" s="1"/>
  <c r="AJ41" s="1"/>
  <c r="AK41" s="1"/>
  <c r="AL41" s="1"/>
  <c r="AF39"/>
  <c r="AH39" s="1"/>
  <c r="AJ39" s="1"/>
  <c r="AK39" s="1"/>
  <c r="AL39"/>
  <c r="AF49"/>
  <c r="AH49" s="1"/>
  <c r="AJ49" s="1"/>
  <c r="AK49" s="1"/>
  <c r="AL49"/>
  <c r="AF45"/>
  <c r="AH45" s="1"/>
  <c r="AJ45" s="1"/>
  <c r="AK45" s="1"/>
  <c r="AL45"/>
  <c r="AF37"/>
  <c r="AH37" s="1"/>
  <c r="AJ37" s="1"/>
  <c r="AK37" s="1"/>
  <c r="AL37"/>
  <c r="AF40"/>
  <c r="AH40" s="1"/>
  <c r="AJ40" s="1"/>
  <c r="AK40" s="1"/>
  <c r="AL40" s="1"/>
  <c r="AF35"/>
  <c r="AH35" s="1"/>
  <c r="AJ35" s="1"/>
  <c r="AK35" s="1"/>
  <c r="AL35" s="1"/>
  <c r="AF43"/>
  <c r="AH43" s="1"/>
  <c r="AJ43" s="1"/>
  <c r="AK43" s="1"/>
  <c r="AL43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52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<sst xmlns="http://schemas.openxmlformats.org/spreadsheetml/2006/main" count="318" uniqueCount="127">
  <si>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</si>
  <si>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</si>
  <si>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</si>
  <si>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</si>
  <si>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</si>
  <si>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</si>
  <si>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</si>
  <si>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</si>
  <si>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</si>
  <si>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</si>
  <si>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</si>
  <si>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</si>
  <si>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</si>
  <si>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</si>
  <si>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</si>
  <si>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</si>
  <si>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</si>
  <si>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</si>
  <si>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</si>
  <si>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</si>
  <si>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</si>
  <si>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</si>
  <si>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</si>
  <si>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</si>
  <si>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</si>
  <si>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</si>
  <si>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</si>
  <si>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</si>
  <si>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</si>
  <si>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</si>
  <si>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</si>
  <si>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</si>
  <si>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</si>
  <si>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</si>
  <si>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</si>
  <si>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</si>
  <si>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</si>
  <si>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</si>
  <si>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</si>
  <si>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</si>
  <si>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</si>
  <si>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</si>
  <si>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</si>
  <si>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</si>
  <si>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</si>
  <si>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</si>
  <si>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</si>
  <si>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</si>
  <si>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</si>
  <si>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</si>
  <si>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</si>
  <si>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</si>
  <si>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</si>
  <si>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</si>
  <si>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</si>
  <si>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</si>
  <si>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</si>
  <si>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</si>
  <si>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</si>
  <si>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</si>
  <si>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</si>
  <si>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</si>
  <si>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</si>
  <si>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</si>
  <si>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</si>
  <si>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</si>
  <si>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</si>
  <si>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</si>
  <si>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</si>
  <si>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</si>
  <si>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</si>
  <si>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</si>
  <si>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</si>
  <si>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</si>
  <si>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</si>
  <si>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</si>
  <si>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</si>
  <si>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</si>
  <si>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</si>
  <si>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</si>
  <si>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</si>
  <si>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</si>
  <si>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</si>
  <si>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</si>
  <si>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</si>
  <si>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</si>
  <si>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</si>
  <si>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</si>
  <si>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</si>
  <si>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</si>
  <si>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</si>
  <si>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VALEE40</t>
  </si>
  <si>
    <t>VALEE42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</si>
  <si>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</si>
  <si>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</si>
  <si>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</si>
  <si>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</si>
  <si>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</si>
  <si>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</si>
  <si>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</si>
  <si>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</si>
  <si>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</si>
  <si>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</si>
  <si>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</si>
  <si>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</si>
  <si>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</si>
  <si>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</si>
  <si>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</si>
  <si>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</si>
  <si>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PETREE19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</si>
  <si>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</si>
  <si>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</si>
  <si>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</si>
  <si>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</si>
  <si>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</si>
  <si>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</si>
  <si>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</si>
  <si>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</si>
  <si>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</si>
  <si>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</si>
  <si>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</si>
  <si>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</si>
  <si>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</si>
  <si>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PETREF21</t>
  </si>
  <si>
    <t>BVMFF10</t>
  </si>
  <si>
    <t>PETRF20</t>
  </si>
  <si>
    <t>PETRF21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</si>
</sst>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0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164" fontId="8" fillId="0" borderId="0" xfId="1" applyFont="1"/>
    <xf numFmtId="164" fontId="8" fillId="0" borderId="0" xfId="1" applyNumberFormat="1" applyFont="1"/>
    <xf numFmtId="0" fontId="8" fillId="0" borderId="0" xfId="1" applyNumberFormat="1" applyFont="1"/>
    <xf numFmtId="10" fontId="8" fillId="0" borderId="0" xfId="2" applyNumberFormat="1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71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71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8" fillId="0" borderId="0" xfId="1" applyNumberFormat="1" applyFont="1" applyBorder="1"/>
    <xf numFmtId="164" fontId="3" fillId="0" borderId="0" xfId="0" applyNumberFormat="1" applyFont="1" applyBorder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</cellXfs>
  <cellStyles count="3">
    <cellStyle name="Moeda" xfId="1" builtinId="4"/>
    <cellStyle name="Normal" xfId="0" builtinId="0"/>
    <cellStyle name="Porcentagem" xfId="2" builtinId="5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C" displayName="NC" ref="A1:AL52" totalsRowCount="1" headerRowDxfId="241" dataDxfId="240" totalsRowDxfId="239">
  <autoFilter ref="A1:AL51"/>
  <sortState ref="A2:AL49">
    <sortCondition ref="E1:E49"/>
  </sortState>
  <tableColumns count="38">
    <tableColumn id="19" name="ID" totalsRowFunction="max" dataDxfId="238" totalsRowDxfId="37"/>
    <tableColumn id="36" name="U" dataDxfId="237" totalsRowDxfId="36"/>
    <tableColumn id="2" name="ATIVO" dataDxfId="236" totalsRowDxfId="35"/>
    <tableColumn id="3" name="T" dataDxfId="235" totalsRowDxfId="34"/>
    <tableColumn id="4" name="DATA" dataDxfId="234" totalsRowDxfId="33"/>
    <tableColumn id="5" name="QTDE" dataDxfId="233" totalsRowDxfId="32"/>
    <tableColumn id="6" name="PREÇO" totalsRowFunction="custom" dataDxfId="232" totalsRowDxfId="31">
      <totalsRowFormula>NC[[#Totals],[ID]]*14.9</totalsRowFormula>
    </tableColumn>
    <tableColumn id="7" name="[D/N]" totalsRowFunction="custom" dataDxfId="231" totalsRowDxfId="30">
      <totalsRowFormula>NC[[#Totals],[LUCRO P/ OP]]+NC[[#Totals],[PREÇO]]</totalsRowFormula>
    </tableColumn>
    <tableColumn id="34" name="DATA DE LIQUIDAÇÃO" dataDxfId="230" totalsRowDxfId="29">
      <calculatedColumnFormula>WORKDAY(NC[[#This Row],[DATA]],1,0)</calculatedColumnFormula>
    </tableColumn>
    <tableColumn id="31" name="DATA BASE" dataDxfId="229" totalsRowDxfId="28">
      <calculatedColumnFormula>EOMONTH(NC[[#This Row],[DATA DE LIQUIDAÇÃO]],0)</calculatedColumnFormula>
    </tableColumn>
    <tableColumn id="21" name="PAR" dataDxfId="228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27" totalsRowDxfId="26">
      <calculatedColumnFormula>[QTDE]*[PREÇO]</calculatedColumnFormula>
    </tableColumn>
    <tableColumn id="9" name="VALOR LÍQUIDO DAS OPERAÇÕES" dataDxfId="226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25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24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23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222" totalsRowDxfId="21">
      <calculatedColumnFormula>SETUP!$E$3*SUMPRODUCT(N([DATA]=NC[[#This Row],[DATA]]),N([ID]&lt;=NC[[#This Row],[ID]]))</calculatedColumnFormula>
    </tableColumn>
    <tableColumn id="13" name="ISS" dataDxfId="221" totalsRowDxfId="20">
      <calculatedColumnFormula>TRUNC([CORRETAGEM]*SETUP!$F$3,2)</calculatedColumnFormula>
    </tableColumn>
    <tableColumn id="15" name="OUTRAS BOVESPA" dataDxfId="220" totalsRowDxfId="19">
      <calculatedColumnFormula>ROUND([CORRETAGEM]*SETUP!$G$3,2)</calculatedColumnFormula>
    </tableColumn>
    <tableColumn id="16" name="LÍQUIDO BASE" dataDxfId="219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218" totalsRowDxfId="17">
      <calculatedColumnFormula>IF(AND(['[D/N']]="D",    [T]="CV"),    ROUND([LÍQUIDO BASE]*0.01, 2),    0)</calculatedColumnFormula>
    </tableColumn>
    <tableColumn id="35" name="LÍQUIDO" dataDxfId="217" totalsRowDxfId="16">
      <calculatedColumnFormula>IF([PREÇO] &gt; 0,    [LÍQUIDO BASE]-SUMPRODUCT(N([DATA]=NC[[#This Row],[DATA]]),    [IRRF FONTE]),    0)</calculatedColumnFormula>
    </tableColumn>
    <tableColumn id="17" name="VALOR OP" dataDxfId="216" totalsRowDxfId="15" dataCellStyle="Moeda">
      <calculatedColumnFormula>[LÍQUIDO]-SUMPRODUCT(N([DATA]=NC[[#This Row],[DATA]]),N([ID]=(NC[[#This Row],[ID]]-1)),[LÍQUIDO])</calculatedColumnFormula>
    </tableColumn>
    <tableColumn id="18" name="MEDIO P/ OP" dataDxfId="215" totalsRowDxfId="14">
      <calculatedColumnFormula>IF([T] = "VC", ABS([VALOR OP]) / [QTDE], [VALOR OP]/[QTDE])</calculatedColumnFormula>
    </tableColumn>
    <tableColumn id="20" name="IRRF" totalsRowFunction="sum" dataDxfId="214" totalsRowDxfId="13">
      <calculatedColumnFormula>TRUNC(IF(OR([T]="CV",[T]="VV"),     L2*SETUP!$H$3,     0),2)</calculatedColumnFormula>
    </tableColumn>
    <tableColumn id="24" name="SALDO" dataDxfId="213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12" totalsRowDxfId="1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11" totalsRowDxfId="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10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9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08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207" totalsRowDxfId="6">
      <calculatedColumnFormula>IF([U] = "U",[LUCRO '[N']] + SUMPRODUCT(N(MONTH([DATA BASE])&lt;MONTH(NC[[#This Row],[DATA BASE]]) ), [LUCRO '[N']]),0)</calculatedColumnFormula>
    </tableColumn>
    <tableColumn id="39" name="LUCRO TRIB. DT" dataDxfId="206" totalsRowDxfId="5">
      <calculatedColumnFormula>IF([U] = "U", SUMPRODUCT(N([DATA BASE]=NC[[#This Row],[DATA BASE]]), N(['[D/N']] = "D"),    [LUCRO P/ OP]), 0)</calculatedColumnFormula>
    </tableColumn>
    <tableColumn id="32" name="IR [N]" dataDxfId="205" totalsRowDxfId="4" dataCellStyle="Moeda">
      <calculatedColumnFormula>IF([ TRIB. '[N']] &gt; 0,     ROUND([ TRIB. '[N']]*0.15,    2),    0)</calculatedColumnFormula>
    </tableColumn>
    <tableColumn id="38" name="IR DEVIDO DT" dataDxfId="204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203" totalsRowDxfId="2" dataCellStyle="Moeda">
      <calculatedColumnFormula>[IR '[N']] + [IR DEVIDO DT]</calculatedColumnFormula>
    </tableColumn>
    <tableColumn id="26" name="RESGATE" dataDxfId="202" totalsRowDxfId="1" dataCellStyle="Moeda">
      <calculatedColumnFormula>IF(AND([U] = "U",[IR DEVIDO] &gt; 0), [IR DEVIDO] + 8.9, 0)</calculatedColumnFormula>
    </tableColumn>
    <tableColumn id="27" name="LUCRO LÍQUIDO" totalsRowFunction="sum" dataDxfId="201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12" totalsRowCount="1" headerRowDxfId="200" dataDxfId="199">
  <autoFilter ref="A1:J11"/>
  <tableColumns count="10">
    <tableColumn id="1" name="PAPEL" totalsRowLabel="Total" dataDxfId="198" totalsRowDxfId="112"/>
    <tableColumn id="10" name="APLICAÇÃO" dataDxfId="197" totalsRowDxfId="111" dataCellStyle="Moeda"/>
    <tableColumn id="2" name="EXERCÍCIO" dataDxfId="196" totalsRowDxfId="110" dataCellStyle="Moeda"/>
    <tableColumn id="3" name="PREÇO OPÇÃO" dataDxfId="195" totalsRowDxfId="109" dataCellStyle="Moeda"/>
    <tableColumn id="4" name="PREÇO AÇÃO" dataDxfId="113" totalsRowDxfId="108" dataCellStyle="Moeda">
      <calculatedColumnFormula>35.7</calculatedColumnFormula>
    </tableColumn>
    <tableColumn id="11" name="QTDE TMP" dataDxfId="194" totalsRowDxfId="107" dataCellStyle="Moeda">
      <calculatedColumnFormula>ROUNDDOWN([APLICAÇÃO]/[PREÇO OPÇÃO], 0)</calculatedColumnFormula>
    </tableColumn>
    <tableColumn id="14" name="QTDE" dataDxfId="193" totalsRowDxfId="106" dataCellStyle="Moeda">
      <calculatedColumnFormula>[QTDE TMP] - MOD([QTDE TMP], 100)</calculatedColumnFormula>
    </tableColumn>
    <tableColumn id="5" name="TARGET 100%" dataDxfId="192" totalsRowDxfId="105" dataCellStyle="Moeda">
      <calculatedColumnFormula>[EXERCÍCIO] + ([PREÇO OPÇÃO] * 2)</calculatedColumnFormula>
    </tableColumn>
    <tableColumn id="6" name="ALTA 100%" dataDxfId="191" totalsRowDxfId="104" dataCellStyle="Porcentagem">
      <calculatedColumnFormula>[TARGET 100%] / [PREÇO AÇÃO] - 1</calculatedColumnFormula>
    </tableColumn>
    <tableColumn id="12" name="LUCRO* 100%" dataDxfId="190" totalsRowDxfId="103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246" displayName="Tabela246" ref="A1:O5" totalsRowCount="1" headerRowDxfId="189" dataDxfId="188">
  <autoFilter ref="A1:O4">
    <filterColumn colId="6"/>
    <filterColumn colId="7"/>
    <filterColumn colId="8"/>
    <filterColumn colId="9"/>
    <filterColumn colId="10"/>
  </autoFilter>
  <tableColumns count="15">
    <tableColumn id="1" name="PAPEL" totalsRowLabel="Total" dataDxfId="187" totalsRowDxfId="100"/>
    <tableColumn id="10" name="RISCO" dataDxfId="186" totalsRowDxfId="99" dataCellStyle="Moeda"/>
    <tableColumn id="20" name="PREÇO AÇÃO" dataDxfId="185" totalsRowDxfId="98" dataCellStyle="Moeda"/>
    <tableColumn id="7" name="EX. VENDA" dataDxfId="184" totalsRowDxfId="97" dataCellStyle="Moeda"/>
    <tableColumn id="2" name="EX. COMPRA" dataDxfId="183" totalsRowDxfId="96" dataCellStyle="Moeda"/>
    <tableColumn id="3" name="PR COMPRA" dataDxfId="182" totalsRowDxfId="95" dataCellStyle="Moeda"/>
    <tableColumn id="16" name="QTDE" dataDxfId="181" totalsRowDxfId="94" dataCellStyle="Moeda"/>
    <tableColumn id="13" name="PERDA P/ OPÇÃO" dataDxfId="180" totalsRowDxfId="93" dataCellStyle="Moeda">
      <calculatedColumnFormula>-[RISCO]/[QTDE]</calculatedColumnFormula>
    </tableColumn>
    <tableColumn id="14" name="CUSTO CP" dataDxfId="179" totalsRowDxfId="92" dataCellStyle="Moeda">
      <calculatedColumnFormula>[PR COMPRA] * [QTDE]</calculatedColumnFormula>
    </tableColumn>
    <tableColumn id="15" name="LUCRO UNI" dataDxfId="178" totalsRowDxfId="91">
      <calculatedColumnFormula>[PR VENDA]-[PR COMPRA]</calculatedColumnFormula>
    </tableColumn>
    <tableColumn id="8" name="PR VENDA" dataDxfId="177" totalsRowDxfId="90" dataCellStyle="Moeda">
      <calculatedColumnFormula>[PERDA P/ OPÇÃO] + ([EX. COMPRA] - [EX. VENDA] + 0.01) - 0.01 + [PR COMPRA]</calculatedColumnFormula>
    </tableColumn>
    <tableColumn id="5" name="LUCRO*" dataDxfId="102" totalsRowDxfId="89" dataCellStyle="Moeda">
      <calculatedColumnFormula>([QTDE]*[LUCRO UNI])</calculatedColumnFormula>
    </tableColumn>
    <tableColumn id="6" name="PERDA*" dataDxfId="101" totalsRowDxfId="88" dataCellStyle="Moeda">
      <calculatedColumnFormula>[PERDA P/ OPÇÃO]*[QTDE]</calculatedColumnFormula>
    </tableColumn>
    <tableColumn id="21" name="% QUEDA" dataDxfId="176" totalsRowDxfId="87" dataCellStyle="Porcentagem">
      <calculatedColumnFormula>[EX. VENDA]/[PREÇO AÇÃO]-1</calculatedColumnFormula>
    </tableColumn>
    <tableColumn id="22" name="RISCO : 1" dataDxfId="175" totalsRowDxfId="8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3" totalsRowCount="1" headerRowDxfId="174" dataDxfId="173">
  <autoFilter ref="A1:V2">
    <filterColumn colId="15"/>
  </autoFilter>
  <tableColumns count="22">
    <tableColumn id="1" name="PAPEL" totalsRowLabel="Total" dataDxfId="172" totalsRowDxfId="171"/>
    <tableColumn id="10" name="BASE" dataDxfId="170" totalsRowDxfId="169" dataCellStyle="Moeda"/>
    <tableColumn id="20" name="PR. AÇÃO" dataDxfId="168" totalsRowDxfId="167" dataCellStyle="Moeda"/>
    <tableColumn id="2" name="EX. CP 1" dataDxfId="166" totalsRowDxfId="165" dataCellStyle="Moeda"/>
    <tableColumn id="3" name="PR CP 1" dataDxfId="164" totalsRowDxfId="163" dataCellStyle="Moeda"/>
    <tableColumn id="12" name="EX. VD" dataDxfId="162" totalsRowDxfId="161" dataCellStyle="Moeda"/>
    <tableColumn id="13" name="PR VD" dataDxfId="160" totalsRowDxfId="159" dataCellStyle="Moeda"/>
    <tableColumn id="8" name="EX. CP 2" dataDxfId="158" totalsRowDxfId="157" dataCellStyle="Moeda"/>
    <tableColumn id="7" name="PR CP 2" dataDxfId="156" totalsRowDxfId="155" dataCellStyle="Moeda"/>
    <tableColumn id="18" name="LUCRO UNI." dataDxfId="154" totalsRowDxfId="153" dataCellStyle="Moeda">
      <calculatedColumnFormula>(([PR VD] - 0.01) * 2) + (([EX. VD] - [EX. CP 1] + 0.01) - [PR CP 1]) + (0.01 - [PR CP 2])</calculatedColumnFormula>
    </tableColumn>
    <tableColumn id="19" name="PERDA 1" dataDxfId="152" totalsRowDxfId="151" dataCellStyle="Moeda">
      <calculatedColumnFormula>(0.01 - [PR CP 1]) + (([PR VD] - 0.01) * 2) + (0.01 - [PR CP 2])</calculatedColumnFormula>
    </tableColumn>
    <tableColumn id="15" name="PERDA 2" dataDxfId="150" totalsRowDxfId="149" dataCellStyle="Moeda">
      <calculatedColumnFormula>(([EX. CP 2] - [EX. CP 1] + 0.01) - [PR CP 1]) + (([PR VD] - ([EX. CP 2] - [EX. VD] + 0.01)) * 2) + (0.01 - [PR CP 2])</calculatedColumnFormula>
    </tableColumn>
    <tableColumn id="16" name="PERDA" dataDxfId="148" totalsRowDxfId="147" dataCellStyle="Moeda">
      <calculatedColumnFormula>IF([PERDA 1] &gt; [PERDA 2], [PERDA 2], [PERDA 1])</calculatedColumnFormula>
    </tableColumn>
    <tableColumn id="11" name="QTDE TMP" dataDxfId="146" totalsRowDxfId="145" dataCellStyle="Moeda">
      <calculatedColumnFormula>ROUNDDOWN([BASE]/ABS([PERDA]), 0)</calculatedColumnFormula>
    </tableColumn>
    <tableColumn id="14" name="QTDE" dataDxfId="144" totalsRowDxfId="143" dataCellStyle="Moeda">
      <calculatedColumnFormula>[QTDE TMP] - MOD([QTDE TMP], 100)</calculatedColumnFormula>
    </tableColumn>
    <tableColumn id="4" name="QTDE VD" dataDxfId="142" totalsRowDxfId="141" dataCellStyle="Moeda">
      <calculatedColumnFormula>Tabela245[[#This Row],[QTDE]]*2</calculatedColumnFormula>
    </tableColumn>
    <tableColumn id="17" name="TOT.  CP" dataDxfId="140" totalsRowDxfId="139" dataCellStyle="Moeda">
      <calculatedColumnFormula>-([QTDE]*[PR CP 1] + [QTDE]*[PR CP 2])</calculatedColumnFormula>
    </tableColumn>
    <tableColumn id="9" name="T. VD" dataDxfId="138" totalsRowDxfId="137" dataCellStyle="Moeda">
      <calculatedColumnFormula>[QTDE]*[PR VD] * 2</calculatedColumnFormula>
    </tableColumn>
    <tableColumn id="5" name="LUCRO*" dataDxfId="136" totalsRowDxfId="135" dataCellStyle="Moeda">
      <calculatedColumnFormula>([QTDE]*[LUCRO UNI.] - 90)</calculatedColumnFormula>
    </tableColumn>
    <tableColumn id="6" name="PERDA*" dataDxfId="134" totalsRowDxfId="133" dataCellStyle="Moeda">
      <calculatedColumnFormula>[QTDE]*[PERDA] - 90</calculatedColumnFormula>
    </tableColumn>
    <tableColumn id="21" name="% VAR" dataDxfId="132" totalsRowDxfId="131" dataCellStyle="Porcentagem">
      <calculatedColumnFormula>[EX. VD] / [PR. AÇÃO] - 1</calculatedColumnFormula>
    </tableColumn>
    <tableColumn id="22" name="RISCO : 1" dataDxfId="130" totalsRowDxfId="12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O8" totalsRowCount="1" headerRowDxfId="128" dataDxfId="127">
  <autoFilter ref="A1:O7"/>
  <tableColumns count="15">
    <tableColumn id="1" name="PAPEL" totalsRowLabel="Total" dataDxfId="126" totalsRowDxfId="53"/>
    <tableColumn id="10" name="RISCO" dataDxfId="125" totalsRowDxfId="52" dataCellStyle="Moeda"/>
    <tableColumn id="20" name="PREÇO AÇÃO" dataDxfId="124" totalsRowDxfId="51" dataCellStyle="Moeda"/>
    <tableColumn id="7" name="EXERC. VENDA" dataDxfId="123" totalsRowDxfId="50" dataCellStyle="Moeda"/>
    <tableColumn id="8" name="PREÇO VENDA" dataDxfId="122" totalsRowDxfId="49" dataCellStyle="Moeda"/>
    <tableColumn id="2" name="EXERC. COMPRA" dataDxfId="121" totalsRowDxfId="48" dataCellStyle="Moeda"/>
    <tableColumn id="3" name="PREÇO COMPRA" dataDxfId="120" totalsRowDxfId="47" dataCellStyle="Moeda"/>
    <tableColumn id="18" name="LUCRO P/ OPÇÃO" dataDxfId="119" totalsRowDxfId="46" dataCellStyle="Moeda">
      <calculatedColumnFormula>[PREÇO VENDA]-[PREÇO COMPRA]</calculatedColumnFormula>
    </tableColumn>
    <tableColumn id="19" name="PERDA P/ OPÇÃO" dataDxfId="118" totalsRowDxfId="45" dataCellStyle="Moeda">
      <calculatedColumnFormula>(0.01 - [PREÇO COMPRA]) + ([PREÇO VENDA] - ([EXERC. COMPRA]-[EXERC. VENDA]+0.01))</calculatedColumnFormula>
    </tableColumn>
    <tableColumn id="11" name="QTDE TMP" dataDxfId="117" totalsRowDxfId="44" dataCellStyle="Moeda">
      <calculatedColumnFormula>ROUNDDOWN([RISCO]/ABS([PERDA P/ OPÇÃO]), 0)</calculatedColumnFormula>
    </tableColumn>
    <tableColumn id="14" name="QTDE" dataDxfId="116" totalsRowDxfId="43" dataCellStyle="Moeda">
      <calculatedColumnFormula>[QTDE TMP] - MOD([QTDE TMP], 100)</calculatedColumnFormula>
    </tableColumn>
    <tableColumn id="5" name="LUCRO*" dataDxfId="54" totalsRowDxfId="42" dataCellStyle="Moeda">
      <calculatedColumnFormula>([QTDE]*[LUCRO P/ OPÇÃO])</calculatedColumnFormula>
    </tableColumn>
    <tableColumn id="6" name="PERDA*" dataDxfId="38" totalsRowDxfId="41" dataCellStyle="Moeda">
      <calculatedColumnFormula>[QTDE]*[PERDA P/ OPÇÃO]</calculatedColumnFormula>
    </tableColumn>
    <tableColumn id="21" name="% QUEDA" dataDxfId="115" totalsRowDxfId="40" dataCellStyle="Porcentagem">
      <calculatedColumnFormula>[EXERC. VENDA]/[PREÇO AÇÃO]-1</calculatedColumnFormula>
    </tableColumn>
    <tableColumn id="22" name="RISCO : 1" dataDxfId="114" totalsRowDxfId="3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467" displayName="Tabela2467" ref="A1:O5" totalsRowCount="1" headerRowDxfId="73" dataDxfId="72">
  <autoFilter ref="A1:O5">
    <filterColumn colId="5"/>
  </autoFilter>
  <tableColumns count="15">
    <tableColumn id="1" name="PAPEL" totalsRowLabel="Total" dataDxfId="85" totalsRowDxfId="69"/>
    <tableColumn id="10" name="RISCO" dataDxfId="84" totalsRowDxfId="68" dataCellStyle="Moeda"/>
    <tableColumn id="20" name="PREÇO AÇÃO" dataDxfId="83" totalsRowDxfId="67" dataCellStyle="Moeda"/>
    <tableColumn id="7" name="EX. VENDA" dataDxfId="82" totalsRowDxfId="66" dataCellStyle="Moeda"/>
    <tableColumn id="2" name="EX. COMPRA" dataDxfId="81" totalsRowDxfId="65" dataCellStyle="Moeda"/>
    <tableColumn id="9" name="PR VENDA" totalsRowDxfId="64"/>
    <tableColumn id="3" name="PR COMPRA" dataDxfId="80" totalsRowDxfId="63" dataCellStyle="Moeda"/>
    <tableColumn id="16" name="QTDE" dataDxfId="79" totalsRowDxfId="62" dataCellStyle="Moeda"/>
    <tableColumn id="13" name="PERDA P/ OPÇÃO" dataDxfId="70" totalsRowDxfId="61" dataCellStyle="Moeda">
      <calculatedColumnFormula>([PR VENDA] - ([EX. COMPRA] - [EX. VENDA] + 0.01)) + (0.01 - ([PR COMPRA]))</calculatedColumnFormula>
    </tableColumn>
    <tableColumn id="14" name="CUSTO CP" dataDxfId="78" totalsRowDxfId="60" dataCellStyle="Moeda">
      <calculatedColumnFormula>[PR COMPRA] * [QTDE]</calculatedColumnFormula>
    </tableColumn>
    <tableColumn id="15" name="LUCRO UNI" dataDxfId="71" totalsRowDxfId="59">
      <calculatedColumnFormula>[PR VENDA]-[PR COMPRA]</calculatedColumnFormula>
    </tableColumn>
    <tableColumn id="5" name="LUCRO*" dataDxfId="77" totalsRowDxfId="58" dataCellStyle="Moeda">
      <calculatedColumnFormula>([QTDE]*[LUCRO UNI])</calculatedColumnFormula>
    </tableColumn>
    <tableColumn id="6" name="PERDA*" dataDxfId="76" totalsRowDxfId="57" dataCellStyle="Moeda">
      <calculatedColumnFormula>[PERDA P/ OPÇÃO]*[QTDE]</calculatedColumnFormula>
    </tableColumn>
    <tableColumn id="21" name="% QUEDA" dataDxfId="75" totalsRowDxfId="56" dataCellStyle="Porcentagem">
      <calculatedColumnFormula>[EX. VENDA]/[PREÇO AÇÃO]-1</calculatedColumnFormula>
    </tableColumn>
    <tableColumn id="22" name="RISCO : 1" dataDxfId="74" totalsRowDxfId="5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53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V54" sqref="V54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113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7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OP]) / [QTDE], [VALOR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OP]) / [QTDE], [VALOR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OP]) / [QTDE], [VALOR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OP]) / [QTDE], [VALOR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OP]) / [QTDE], [VALOR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OP]) / [QTDE], [VALOR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OP]) / [QTDE], [VALOR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OP]) / [QTDE], [VALOR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OP]) / [QTDE], [VALOR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OP]) / [QTDE], [VALOR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OP]) / [QTDE], [VALOR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OP]) / [QTDE], [VALOR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OP]) / [QTDE], [VALOR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OP]) / [QTDE], [VALOR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OP]) / [QTDE], [VALOR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OP]) / [QTDE], [VALOR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OP]) / [QTDE], [VALOR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OP]) / [QTDE], [VALOR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OP]) / [QTDE], [VALOR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OP]) / [QTDE], [VALOR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OP]) / [QTDE], [VALOR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OP]) / [QTDE], [VALOR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OP]) / [QTDE], [VALOR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OP]) / [QTDE], [VALOR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OP]) / [QTDE], [VALOR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OP]) / [QTDE], [VALOR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1"/>
      <c r="C28" s="61" t="s">
        <v>70</v>
      </c>
      <c r="D28" s="31" t="s">
        <v>24</v>
      </c>
      <c r="E28" s="32">
        <v>41022</v>
      </c>
      <c r="F28" s="31">
        <v>100</v>
      </c>
      <c r="G28" s="30">
        <v>0.75</v>
      </c>
      <c r="H28" s="31" t="s">
        <v>6</v>
      </c>
      <c r="I28" s="32">
        <f>WORKDAY(NC[[#This Row],[DATA]],1,0)</f>
        <v>41023</v>
      </c>
      <c r="J28" s="33">
        <f>EOMONTH(NC[[#This Row],[DATA DE LIQUIDAÇÃO]],0)</f>
        <v>41029</v>
      </c>
      <c r="K28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30">
        <f>[QTDE]*[PREÇO]</f>
        <v>75</v>
      </c>
      <c r="M28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30">
        <f>SETUP!$E$3*SUMPRODUCT(N([DATA]=NC[[#This Row],[DATA]]),N([ID]&lt;=NC[[#This Row],[ID]]))</f>
        <v>14.9</v>
      </c>
      <c r="R28" s="30">
        <f>TRUNC([CORRETAGEM]*SETUP!$F$3,2)</f>
        <v>0.28999999999999998</v>
      </c>
      <c r="S28" s="30">
        <f>ROUND([CORRETAGEM]*SETUP!$G$3,2)</f>
        <v>0.57999999999999996</v>
      </c>
      <c r="T28" s="30">
        <f>[VALOR LÍQUIDO DAS OPERAÇÕES]-[TAXA DE LIQUIDAÇÃO]-[EMOLUMENTOS]-[TAXA DE REGISTRO]-[CORRETAGEM]-[ISS]-IF(['[D/N']]="D",    0,    [OUTRAS BOVESPA])</f>
        <v>-90.86</v>
      </c>
      <c r="U28" s="30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4">
        <f>[LÍQUIDO]-SUMPRODUCT(N([DATA]=NC[[#This Row],[DATA]]),N([ID]=(NC[[#This Row],[ID]]-1)),[LÍQUIDO])</f>
        <v>-90.86</v>
      </c>
      <c r="X28" s="30">
        <f>IF([T] = "VC", ABS([VALOR OP]) / [QTDE], [VALOR OP]/[QTDE])</f>
        <v>-0.90859999999999996</v>
      </c>
      <c r="Y28" s="30">
        <f>TRUNC(IF(OR([T]="CV",[T]="VV"),     L28*SETUP!$H$3,     0),2)</f>
        <v>0</v>
      </c>
      <c r="Z28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8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30">
        <f>IF([LUCRO TMP] &lt;&gt; 0, [LUCRO TMP] - SUMPRODUCT(N([ATIVO]=NC[[#This Row],[ATIVO]]),N(['[D/N']]="N"),N([ID]&lt;NC[[#This Row],[ID]]),N([PAR]=NC[[#This Row],[PAR]]), [LUCRO TMP]), 0)</f>
        <v>0</v>
      </c>
      <c r="AE28" s="30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30">
        <f>IF([U] = "U", SUMPRODUCT(N([DATA BASE]=NC[[#This Row],[DATA BASE]]), N(['[D/N']] = "D"),    [LUCRO P/ OP]), 0)</f>
        <v>0</v>
      </c>
      <c r="AH28" s="34">
        <f>IF([ TRIB. '[N']] &gt; 0,     ROUND([ TRIB. '[N']]*0.15,    2),    0)</f>
        <v>0</v>
      </c>
      <c r="AI28" s="34">
        <f>IF([LUCRO TRIB. DT] &gt; 0,     ROUND([LUCRO TRIB. DT]*0.2,    2)  -  SUMPRODUCT(N([DATA BASE]=NC[[#This Row],[DATA BASE]]),    [IRRF FONTE]),    0)</f>
        <v>0</v>
      </c>
      <c r="AJ28" s="36">
        <f>[IR '[N']] + [IR DEVIDO DT]</f>
        <v>0</v>
      </c>
      <c r="AK28" s="34">
        <f>IF(AND([U] = "U",[IR DEVIDO] &gt; 0), [IR DEVIDO] + 8.9, 0)</f>
        <v>0</v>
      </c>
      <c r="AL28" s="34">
        <f>[LUCRO '[N']]  + [LUCRO TRIB. DT] - [RESGATE]</f>
        <v>0</v>
      </c>
    </row>
    <row r="29" spans="1:38" ht="11.25" customHeight="1">
      <c r="A29" s="13">
        <v>28</v>
      </c>
      <c r="B29" s="31"/>
      <c r="C29" s="61" t="s">
        <v>71</v>
      </c>
      <c r="D29" s="31" t="s">
        <v>72</v>
      </c>
      <c r="E29" s="32">
        <v>41022</v>
      </c>
      <c r="F29" s="31">
        <v>100</v>
      </c>
      <c r="G29" s="30">
        <v>1.93</v>
      </c>
      <c r="H29" s="31" t="s">
        <v>6</v>
      </c>
      <c r="I29" s="32">
        <f>WORKDAY(NC[[#This Row],[DATA]],1,0)</f>
        <v>41023</v>
      </c>
      <c r="J29" s="33">
        <f>EOMONTH(NC[[#This Row],[DATA DE LIQUIDAÇÃO]],0)</f>
        <v>41029</v>
      </c>
      <c r="K29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30">
        <f>[QTDE]*[PREÇO]</f>
        <v>193</v>
      </c>
      <c r="M29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30">
        <f>SETUP!$E$3*SUMPRODUCT(N([DATA]=NC[[#This Row],[DATA]]),N([ID]&lt;=NC[[#This Row],[ID]]))</f>
        <v>29.8</v>
      </c>
      <c r="R29" s="30">
        <f>TRUNC([CORRETAGEM]*SETUP!$F$3,2)</f>
        <v>0.59</v>
      </c>
      <c r="S29" s="30">
        <f>ROUND([CORRETAGEM]*SETUP!$G$3,2)</f>
        <v>1.1599999999999999</v>
      </c>
      <c r="T29" s="30">
        <f>[VALOR LÍQUIDO DAS OPERAÇÕES]-[TAXA DE LIQUIDAÇÃO]-[EMOLUMENTOS]-[TAXA DE REGISTRO]-[CORRETAGEM]-[ISS]-IF(['[D/N']]="D",    0,    [OUTRAS BOVESPA])</f>
        <v>86.11</v>
      </c>
      <c r="U29" s="30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4">
        <f>[LÍQUIDO]-SUMPRODUCT(N([DATA]=NC[[#This Row],[DATA]]),N([ID]=(NC[[#This Row],[ID]]-1)),[LÍQUIDO])</f>
        <v>176.97</v>
      </c>
      <c r="X29" s="30">
        <f>IF([T] = "VC", ABS([VALOR OP]) / [QTDE], [VALOR OP]/[QTDE])</f>
        <v>1.7697000000000001</v>
      </c>
      <c r="Y29" s="30">
        <f>TRUNC(IF(OR([T]="CV",[T]="VV"),     L29*SETUP!$H$3,     0),2)</f>
        <v>0</v>
      </c>
      <c r="Z29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29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30">
        <f>IF([LUCRO TMP] &lt;&gt; 0, [LUCRO TMP] - SUMPRODUCT(N([ATIVO]=NC[[#This Row],[ATIVO]]),N(['[D/N']]="N"),N([ID]&lt;NC[[#This Row],[ID]]),N([PAR]=NC[[#This Row],[PAR]]), [LUCRO TMP]), 0)</f>
        <v>0</v>
      </c>
      <c r="AE29" s="30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30">
        <f>IF([U] = "U", SUMPRODUCT(N([DATA BASE]=NC[[#This Row],[DATA BASE]]), N(['[D/N']] = "D"),    [LUCRO P/ OP]), 0)</f>
        <v>0</v>
      </c>
      <c r="AH29" s="34">
        <f>IF([ TRIB. '[N']] &gt; 0,     ROUND([ TRIB. '[N']]*0.15,    2),    0)</f>
        <v>0</v>
      </c>
      <c r="AI29" s="34">
        <f>IF([LUCRO TRIB. DT] &gt; 0,     ROUND([LUCRO TRIB. DT]*0.2,    2)  -  SUMPRODUCT(N([DATA BASE]=NC[[#This Row],[DATA BASE]]),    [IRRF FONTE]),    0)</f>
        <v>0</v>
      </c>
      <c r="AJ29" s="36">
        <f>[IR '[N']] + [IR DEVIDO DT]</f>
        <v>0</v>
      </c>
      <c r="AK29" s="34">
        <f>IF(AND([U] = "U",[IR DEVIDO] &gt; 0), [IR DEVIDO] + 8.9, 0)</f>
        <v>0</v>
      </c>
      <c r="AL29" s="34">
        <f>[LUCRO '[N']]  + [LUCRO TRIB. DT] - [RESGATE]</f>
        <v>0</v>
      </c>
    </row>
    <row r="30" spans="1:38" ht="11.25" customHeight="1">
      <c r="A30" s="13">
        <v>29</v>
      </c>
      <c r="B30" s="31" t="s">
        <v>53</v>
      </c>
      <c r="C30" s="31" t="s">
        <v>65</v>
      </c>
      <c r="D30" s="31" t="s">
        <v>24</v>
      </c>
      <c r="E30" s="32">
        <v>41026</v>
      </c>
      <c r="F30" s="31">
        <v>300</v>
      </c>
      <c r="G30" s="30">
        <v>0.32</v>
      </c>
      <c r="H30" s="31" t="s">
        <v>6</v>
      </c>
      <c r="I30" s="32">
        <f>WORKDAY(NC[[#This Row],[DATA]],1,0)</f>
        <v>41029</v>
      </c>
      <c r="J30" s="33">
        <f>EOMONTH(NC[[#This Row],[DATA DE LIQUIDAÇÃO]],0)</f>
        <v>41029</v>
      </c>
      <c r="K30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30">
        <f>[QTDE]*[PREÇO]</f>
        <v>96</v>
      </c>
      <c r="M30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30">
        <f>SETUP!$E$3*SUMPRODUCT(N([DATA]=NC[[#This Row],[DATA]]),N([ID]&lt;=NC[[#This Row],[ID]]))</f>
        <v>14.9</v>
      </c>
      <c r="R30" s="30">
        <f>TRUNC([CORRETAGEM]*SETUP!$F$3,2)</f>
        <v>0.28999999999999998</v>
      </c>
      <c r="S30" s="30">
        <f>ROUND([CORRETAGEM]*SETUP!$G$3,2)</f>
        <v>0.57999999999999996</v>
      </c>
      <c r="T30" s="30">
        <f>[VALOR LÍQUIDO DAS OPERAÇÕES]-[TAXA DE LIQUIDAÇÃO]-[EMOLUMENTOS]-[TAXA DE REGISTRO]-[CORRETAGEM]-[ISS]-IF(['[D/N']]="D",    0,    [OUTRAS BOVESPA])</f>
        <v>-111.88000000000001</v>
      </c>
      <c r="U30" s="30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4">
        <f>[LÍQUIDO]-SUMPRODUCT(N([DATA]=NC[[#This Row],[DATA]]),N([ID]=(NC[[#This Row],[ID]]-1)),[LÍQUIDO])</f>
        <v>-111.88000000000001</v>
      </c>
      <c r="X30" s="30">
        <f>IF([T] = "VC", ABS([VALOR OP]) / [QTDE], [VALOR OP]/[QTDE])</f>
        <v>-0.37293333333333334</v>
      </c>
      <c r="Y30" s="30">
        <f>TRUNC(IF(OR([T]="CV",[T]="VV"),     L30*SETUP!$H$3,     0),2)</f>
        <v>0</v>
      </c>
      <c r="Z30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0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30">
        <f>IF([LUCRO TMP] &lt;&gt; 0, [LUCRO TMP] - SUMPRODUCT(N([ATIVO]=NC[[#This Row],[ATIVO]]),N(['[D/N']]="N"),N([ID]&lt;NC[[#This Row],[ID]]),N([PAR]=NC[[#This Row],[PAR]]), [LUCRO TMP]), 0)</f>
        <v>0</v>
      </c>
      <c r="AE30" s="30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30">
        <f>IF([U] = "U", SUMPRODUCT(N([DATA BASE]=NC[[#This Row],[DATA BASE]]), N(['[D/N']] = "D"),    [LUCRO P/ OP]), 0)</f>
        <v>0</v>
      </c>
      <c r="AH30" s="34">
        <f>IF([ TRIB. '[N']] &gt; 0,     ROUND([ TRIB. '[N']]*0.15,    2),    0)</f>
        <v>0</v>
      </c>
      <c r="AI30" s="34">
        <f>IF([LUCRO TRIB. DT] &gt; 0,     ROUND([LUCRO TRIB. DT]*0.2,    2)  -  SUMPRODUCT(N([DATA BASE]=NC[[#This Row],[DATA BASE]]),    [IRRF FONTE]),    0)</f>
        <v>0</v>
      </c>
      <c r="AJ30" s="36">
        <f>[IR '[N']] + [IR DEVIDO DT]</f>
        <v>0</v>
      </c>
      <c r="AK30" s="34">
        <f>IF(AND([U] = "U",[IR DEVIDO] &gt; 0), [IR DEVIDO] + 8.9, 0)</f>
        <v>0</v>
      </c>
      <c r="AL30" s="34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OP]) / [QTDE], [VALOR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C3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OP]) / [QTDE], [VALOR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2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61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OP]) / [QTDE], [VALOR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61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OP]) / [QTDE], [VALOR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3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61" t="s">
        <v>71</v>
      </c>
      <c r="D35" s="31" t="s">
        <v>73</v>
      </c>
      <c r="E35" s="32">
        <v>41043</v>
      </c>
      <c r="F35" s="31">
        <v>100</v>
      </c>
      <c r="G35" s="30">
        <v>7.0000000000000007E-2</v>
      </c>
      <c r="H35" s="31" t="s">
        <v>6</v>
      </c>
      <c r="I35" s="32">
        <f>WORKDAY(NC[[#This Row],[DATA]],1,0)</f>
        <v>41044</v>
      </c>
      <c r="J35" s="33">
        <f>EOMONTH(NC[[#This Row],[DATA DE LIQUIDAÇÃO]],0)</f>
        <v>41060</v>
      </c>
      <c r="K35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30">
        <f>[QTDE]*[PREÇO]</f>
        <v>7.0000000000000009</v>
      </c>
      <c r="M35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30">
        <f>SETUP!$E$3*SUMPRODUCT(N([DATA]=NC[[#This Row],[DATA]]),N([ID]&lt;=NC[[#This Row],[ID]]))</f>
        <v>14.9</v>
      </c>
      <c r="R35" s="30">
        <f>TRUNC([CORRETAGEM]*SETUP!$F$3,2)</f>
        <v>0.28999999999999998</v>
      </c>
      <c r="S35" s="30">
        <f>ROUND([CORRETAGEM]*SETUP!$G$3,2)</f>
        <v>0.57999999999999996</v>
      </c>
      <c r="T35" s="30">
        <f>[VALOR LÍQUIDO DAS OPERAÇÕES]-[TAXA DE LIQUIDAÇÃO]-[EMOLUMENTOS]-[TAXA DE REGISTRO]-[CORRETAGEM]-[ISS]-IF(['[D/N']]="D",    0,    [OUTRAS BOVESPA])</f>
        <v>-22.77</v>
      </c>
      <c r="U35" s="30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4">
        <f>[LÍQUIDO]-SUMPRODUCT(N([DATA]=NC[[#This Row],[DATA]]),N([ID]=(NC[[#This Row],[ID]]-1)),[LÍQUIDO])</f>
        <v>-22.77</v>
      </c>
      <c r="X35" s="30">
        <f>IF([T] = "VC", ABS([VALOR OP]) / [QTDE], [VALOR OP]/[QTDE])</f>
        <v>0.22769999999999999</v>
      </c>
      <c r="Y35" s="30">
        <f>TRUNC(IF(OR([T]="CV",[T]="VV"),     L35*SETUP!$H$3,     0),2)</f>
        <v>0</v>
      </c>
      <c r="Z35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35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30">
        <f>IF([LUCRO TMP] &lt;&gt; 0, [LUCRO TMP] - SUMPRODUCT(N([ATIVO]=NC[[#This Row],[ATIVO]]),N(['[D/N']]="N"),N([ID]&lt;NC[[#This Row],[ID]]),N([PAR]=NC[[#This Row],[PAR]]), [LUCRO TMP]), 0)</f>
        <v>154.20000000000002</v>
      </c>
      <c r="AE35" s="30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30">
        <f>IF([U] = "U", SUMPRODUCT(N([DATA BASE]=NC[[#This Row],[DATA BASE]]), N(['[D/N']] = "D"),    [LUCRO P/ OP]), 0)</f>
        <v>0</v>
      </c>
      <c r="AH35" s="34">
        <f>IF([ TRIB. '[N']] &gt; 0,     ROUND([ TRIB. '[N']]*0.15,    2),    0)</f>
        <v>0</v>
      </c>
      <c r="AI35" s="34">
        <f>IF([LUCRO TRIB. DT] &gt; 0,     ROUND([LUCRO TRIB. DT]*0.2,    2)  -  SUMPRODUCT(N([DATA BASE]=NC[[#This Row],[DATA BASE]]),    [IRRF FONTE]),    0)</f>
        <v>0</v>
      </c>
      <c r="AJ35" s="36">
        <f>[IR '[N']] + [IR DEVIDO DT]</f>
        <v>0</v>
      </c>
      <c r="AK35" s="34">
        <f>IF(AND([U] = "U",[IR DEVIDO] &gt; 0), [IR DEVIDO] + 8.9, 0)</f>
        <v>0</v>
      </c>
      <c r="AL35" s="34">
        <f>[LUCRO '[N']]  + [LUCRO TRIB. DT] - [RESGATE]</f>
        <v>0</v>
      </c>
    </row>
    <row r="36" spans="1:38">
      <c r="A36" s="13">
        <v>35</v>
      </c>
      <c r="B36" s="48"/>
      <c r="C36" s="61" t="s">
        <v>98</v>
      </c>
      <c r="D36" s="48" t="s">
        <v>72</v>
      </c>
      <c r="E36" s="49">
        <v>41043</v>
      </c>
      <c r="F36" s="48">
        <v>900</v>
      </c>
      <c r="G36" s="47">
        <v>1.02</v>
      </c>
      <c r="H36" s="48" t="s">
        <v>6</v>
      </c>
      <c r="I36" s="49">
        <f>WORKDAY(NC[[#This Row],[DATA]],1,0)</f>
        <v>41044</v>
      </c>
      <c r="J36" s="50">
        <f>EOMONTH(NC[[#This Row],[DATA DE LIQUIDAÇÃO]],0)</f>
        <v>41060</v>
      </c>
      <c r="K36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47">
        <f>[QTDE]*[PREÇO]</f>
        <v>918</v>
      </c>
      <c r="M36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47">
        <f>SETUP!$E$3*SUMPRODUCT(N([DATA]=NC[[#This Row],[DATA]]),N([ID]&lt;=NC[[#This Row],[ID]]))</f>
        <v>29.8</v>
      </c>
      <c r="R36" s="47">
        <f>TRUNC([CORRETAGEM]*SETUP!$F$3,2)</f>
        <v>0.59</v>
      </c>
      <c r="S36" s="47">
        <f>ROUND([CORRETAGEM]*SETUP!$G$3,2)</f>
        <v>1.1599999999999999</v>
      </c>
      <c r="T36" s="47">
        <f>[VALOR LÍQUIDO DAS OPERAÇÕES]-[TAXA DE LIQUIDAÇÃO]-[EMOLUMENTOS]-[TAXA DE REGISTRO]-[CORRETAGEM]-[ISS]-IF(['[D/N']]="D",    0,    [OUTRAS BOVESPA])</f>
        <v>878.22</v>
      </c>
      <c r="U36" s="47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51">
        <f>[LÍQUIDO]-SUMPRODUCT(N([DATA]=NC[[#This Row],[DATA]]),N([ID]=(NC[[#This Row],[ID]]-1)),[LÍQUIDO])</f>
        <v>900.99</v>
      </c>
      <c r="X36" s="47">
        <f>IF([T] = "VC", ABS([VALOR OP]) / [QTDE], [VALOR OP]/[QTDE])</f>
        <v>1.0011000000000001</v>
      </c>
      <c r="Y36" s="47">
        <f>TRUNC(IF(OR([T]="CV",[T]="VV"),     L36*SETUP!$H$3,     0),2)</f>
        <v>0.04</v>
      </c>
      <c r="Z36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36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47">
        <f>IF([LUCRO TMP] &lt;&gt; 0, [LUCRO TMP] - SUMPRODUCT(N([ATIVO]=NC[[#This Row],[ATIVO]]),N(['[D/N']]="N"),N([ID]&lt;NC[[#This Row],[ID]]),N([PAR]=NC[[#This Row],[PAR]]), [LUCRO TMP]), 0)</f>
        <v>0</v>
      </c>
      <c r="AE36" s="47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47">
        <f>IF([U] = "U", SUMPRODUCT(N([DATA BASE]=NC[[#This Row],[DATA BASE]]), N(['[D/N']] = "D"),    [LUCRO P/ OP]), 0)</f>
        <v>0</v>
      </c>
      <c r="AH36" s="51">
        <f>IF([ TRIB. '[N']] &gt; 0,     ROUND([ TRIB. '[N']]*0.15,    2),    0)</f>
        <v>0</v>
      </c>
      <c r="AI36" s="51">
        <f>IF([LUCRO TRIB. DT] &gt; 0,     ROUND([LUCRO TRIB. DT]*0.2,    2)  -  SUMPRODUCT(N([DATA BASE]=NC[[#This Row],[DATA BASE]]),    [IRRF FONTE]),    0)</f>
        <v>0</v>
      </c>
      <c r="AJ36" s="54">
        <f>[IR '[N']] + [IR DEVIDO DT]</f>
        <v>0</v>
      </c>
      <c r="AK36" s="51">
        <f>IF(AND([U] = "U",[IR DEVIDO] &gt; 0), [IR DEVIDO] + 8.9, 0)</f>
        <v>0</v>
      </c>
      <c r="AL36" s="51">
        <f>[LUCRO '[N']]  + [LUCRO TRIB. DT] - [RESGATE]</f>
        <v>0</v>
      </c>
    </row>
    <row r="37" spans="1:38">
      <c r="A37" s="13">
        <v>36</v>
      </c>
      <c r="B37" s="48"/>
      <c r="C37" s="61" t="s">
        <v>93</v>
      </c>
      <c r="D37" s="48" t="s">
        <v>24</v>
      </c>
      <c r="E37" s="49">
        <v>41043</v>
      </c>
      <c r="F37" s="48">
        <v>900</v>
      </c>
      <c r="G37" s="47">
        <v>0.5</v>
      </c>
      <c r="H37" s="48" t="s">
        <v>6</v>
      </c>
      <c r="I37" s="49">
        <f>WORKDAY(NC[[#This Row],[DATA]],1,0)</f>
        <v>41044</v>
      </c>
      <c r="J37" s="50">
        <f>EOMONTH(NC[[#This Row],[DATA DE LIQUIDAÇÃO]],0)</f>
        <v>41060</v>
      </c>
      <c r="K37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47">
        <f>[QTDE]*[PREÇO]</f>
        <v>450</v>
      </c>
      <c r="M37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47">
        <f>SETUP!$E$3*SUMPRODUCT(N([DATA]=NC[[#This Row],[DATA]]),N([ID]&lt;=NC[[#This Row],[ID]]))</f>
        <v>44.7</v>
      </c>
      <c r="R37" s="47">
        <f>TRUNC([CORRETAGEM]*SETUP!$F$3,2)</f>
        <v>0.89</v>
      </c>
      <c r="S37" s="47">
        <f>ROUND([CORRETAGEM]*SETUP!$G$3,2)</f>
        <v>1.74</v>
      </c>
      <c r="T37" s="47">
        <f>[VALOR LÍQUIDO DAS OPERAÇÕES]-[TAXA DE LIQUIDAÇÃO]-[EMOLUMENTOS]-[TAXA DE REGISTRO]-[CORRETAGEM]-[ISS]-IF(['[D/N']]="D",    0,    [OUTRAS BOVESPA])</f>
        <v>411.85</v>
      </c>
      <c r="U37" s="47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51">
        <f>[LÍQUIDO]-SUMPRODUCT(N([DATA]=NC[[#This Row],[DATA]]),N([ID]=(NC[[#This Row],[ID]]-1)),[LÍQUIDO])</f>
        <v>-466.37</v>
      </c>
      <c r="X37" s="47">
        <f>IF([T] = "VC", ABS([VALOR OP]) / [QTDE], [VALOR OP]/[QTDE])</f>
        <v>-0.51818888888888892</v>
      </c>
      <c r="Y37" s="47">
        <f>TRUNC(IF(OR([T]="CV",[T]="VV"),     L37*SETUP!$H$3,     0),2)</f>
        <v>0</v>
      </c>
      <c r="Z37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7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47">
        <f>IF([LUCRO TMP] &lt;&gt; 0, [LUCRO TMP] - SUMPRODUCT(N([ATIVO]=NC[[#This Row],[ATIVO]]),N(['[D/N']]="N"),N([ID]&lt;NC[[#This Row],[ID]]),N([PAR]=NC[[#This Row],[PAR]]), [LUCRO TMP]), 0)</f>
        <v>0</v>
      </c>
      <c r="AE37" s="47">
        <f>IF([U] = "U", SUMPRODUCT(N([ID]&lt;=NC[[#This Row],[ID]]),N([DATA BASE]=NC[[#This Row],[DATA BASE]]), N(['[D/N']] = "N"),    [LUCRO P/ OP]), 0)</f>
        <v>0</v>
      </c>
      <c r="AF37" s="15">
        <f>IF([U] = "U",[LUCRO '[N']] + SUMPRODUCT(N(MONTH([DATA BASE])&lt;MONTH(NC[[#This Row],[DATA BASE]]) ), [LUCRO '[N']]),0)</f>
        <v>0</v>
      </c>
      <c r="AG37" s="47">
        <f>IF([U] = "U", SUMPRODUCT(N([DATA BASE]=NC[[#This Row],[DATA BASE]]), N(['[D/N']] = "D"),    [LUCRO P/ OP]), 0)</f>
        <v>0</v>
      </c>
      <c r="AH37" s="51">
        <f>IF([ TRIB. '[N']] &gt; 0,     ROUND([ TRIB. '[N']]*0.15,    2),    0)</f>
        <v>0</v>
      </c>
      <c r="AI37" s="51">
        <f>IF([LUCRO TRIB. DT] &gt; 0,     ROUND([LUCRO TRIB. DT]*0.2,    2)  -  SUMPRODUCT(N([DATA BASE]=NC[[#This Row],[DATA BASE]]),    [IRRF FONTE]),    0)</f>
        <v>0</v>
      </c>
      <c r="AJ37" s="54">
        <f>[IR '[N']] + [IR DEVIDO DT]</f>
        <v>0</v>
      </c>
      <c r="AK37" s="51">
        <f>IF(AND([U] = "U",[IR DEVIDO] &gt; 0), [IR DEVIDO] + 8.9, 0)</f>
        <v>0</v>
      </c>
      <c r="AL37" s="51">
        <f>[LUCRO '[N']]  + [LUCRO TRIB. DT] - [RESGATE]</f>
        <v>0</v>
      </c>
    </row>
    <row r="38" spans="1:38">
      <c r="A38" s="13">
        <v>37</v>
      </c>
      <c r="B38" s="13"/>
      <c r="C38" s="61" t="s">
        <v>114</v>
      </c>
      <c r="D38" s="13" t="s">
        <v>24</v>
      </c>
      <c r="E38" s="14">
        <v>41045</v>
      </c>
      <c r="F38" s="13">
        <v>200</v>
      </c>
      <c r="G38" s="15">
        <v>0.69</v>
      </c>
      <c r="H38" s="13" t="s">
        <v>6</v>
      </c>
      <c r="I38" s="14">
        <f>WORKDAY(NC[[#This Row],[DATA]],1,0)</f>
        <v>41046</v>
      </c>
      <c r="J38" s="62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138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-153.94000000000003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-153.94000000000003</v>
      </c>
      <c r="W38" s="20">
        <f>[LÍQUIDO]-SUMPRODUCT(N([DATA]=NC[[#This Row],[DATA]]),N([ID]=(NC[[#This Row],[ID]]-1)),[LÍQUIDO])</f>
        <v>-153.94000000000003</v>
      </c>
      <c r="X38" s="15">
        <f>IF([T] = "VC", ABS([VALOR OP]) / [QTDE], [VALOR OP]/[QTDE])</f>
        <v>-0.76970000000000016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8" s="15">
        <f>IF([LUCRO TMP] &lt;&gt; 0, [LUCRO TMP] - SUMPRODUCT(N([ATIVO]=NC[[#This Row],[ATIVO]]),N(['[D/N']]="N"),N([ID]&lt;NC[[#This Row],[ID]]),N([PAR]=NC[[#This Row],[PAR]]), [LUCRO TMP]), 0)</f>
        <v>0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/>
      <c r="C39" s="61" t="s">
        <v>115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62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274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103.90999999999998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103.90999999999998</v>
      </c>
      <c r="W39" s="20">
        <f>[LÍQUIDO]-SUMPRODUCT(N([DATA]=NC[[#This Row],[DATA]]),N([ID]=(NC[[#This Row],[ID]]-1)),[LÍQUIDO])</f>
        <v>257.85000000000002</v>
      </c>
      <c r="X39" s="15">
        <f>IF([T] = "VC", ABS([VALOR OP]) / [QTDE], [VALOR OP]/[QTDE])</f>
        <v>1.28925</v>
      </c>
      <c r="Y39" s="15">
        <f>TRUNC(IF(OR([T]="CV",[T]="VV"),     L39*SETUP!$H$3,     0),2)</f>
        <v>0.01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A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3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9" s="15">
        <f>IF([LUCRO TMP] &lt;&gt; 0, [LUCRO TMP] - SUMPRODUCT(N([ATIVO]=NC[[#This Row],[ATIVO]]),N(['[D/N']]="N"),N([ID]&lt;NC[[#This Row],[ID]]),N([PAR]=NC[[#This Row],[PAR]]), [LUCRO TMP]), 0)</f>
        <v>0</v>
      </c>
      <c r="AE39" s="15">
        <f>IF([U] = "U", SUMPRODUCT(N([ID]&lt;=NC[[#This Row],[ID]]),N([DATA BASE]=NC[[#This Row],[DATA BASE]]), N(['[D/N']] = "N"),    [LUCRO P/ OP]), 0)</f>
        <v>0</v>
      </c>
      <c r="AF39" s="15">
        <f>IF([U] = "U",[LUCRO '[N']] + SUMPRODUCT(N(MONTH([DATA BASE])&lt;MONTH(NC[[#This Row],[DATA BASE]]) ), [LUCRO '[N']]),0)</f>
        <v>0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0</v>
      </c>
    </row>
    <row r="40" spans="1:38">
      <c r="A40" s="13">
        <v>39</v>
      </c>
      <c r="B40" s="13"/>
      <c r="C40" s="61" t="s">
        <v>86</v>
      </c>
      <c r="D40" s="13" t="s">
        <v>73</v>
      </c>
      <c r="E40" s="32">
        <v>41047</v>
      </c>
      <c r="F40" s="13">
        <v>100</v>
      </c>
      <c r="G40" s="15">
        <v>0.28999999999999998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15">
        <f>[QTDE]*[PREÇO]</f>
        <v>28.999999999999996</v>
      </c>
      <c r="M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N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40" s="15">
        <f>SETUP!$E$3*SUMPRODUCT(N([DATA]=NC[[#This Row],[DATA]]),N([ID]&lt;=NC[[#This Row],[ID]]))</f>
        <v>14.9</v>
      </c>
      <c r="R40" s="15">
        <f>TRUNC([CORRETAGEM]*SETUP!$F$3,2)</f>
        <v>0.28999999999999998</v>
      </c>
      <c r="S40" s="15">
        <f>ROUND([CORRETAGEM]*SETUP!$G$3,2)</f>
        <v>0.57999999999999996</v>
      </c>
      <c r="T40" s="15">
        <f>[VALOR LÍQUIDO DAS OPERAÇÕES]-[TAXA DE LIQUIDAÇÃO]-[EMOLUMENTOS]-[TAXA DE REGISTRO]-[CORRETAGEM]-[ISS]-IF(['[D/N']]="D",    0,    [OUTRAS BOVESPA])</f>
        <v>-44.8</v>
      </c>
      <c r="U40" s="15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-44.8</v>
      </c>
      <c r="W40" s="20">
        <f>[LÍQUIDO]-SUMPRODUCT(N([DATA]=NC[[#This Row],[DATA]]),N([ID]=(NC[[#This Row],[ID]]-1)),[LÍQUIDO])</f>
        <v>-44.8</v>
      </c>
      <c r="X40" s="15">
        <f>IF([T] = "VC", ABS([VALOR OP]) / [QTDE], [VALOR OP]/[QTDE])</f>
        <v>0.44799999999999995</v>
      </c>
      <c r="Y40" s="15">
        <f>TRUNC(IF(OR([T]="CV",[T]="VV"),     L40*SETUP!$H$3,     0),2)</f>
        <v>0</v>
      </c>
      <c r="Z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B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4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D40" s="15">
        <f>IF([LUCRO TMP] &lt;&gt; 0, [LUCRO TMP] - SUMPRODUCT(N([ATIVO]=NC[[#This Row],[ATIVO]]),N(['[D/N']]="N"),N([ID]&lt;NC[[#This Row],[ID]]),N([PAR]=NC[[#This Row],[PAR]]), [LUCRO TMP]), 0)</f>
        <v>91.219999999999985</v>
      </c>
      <c r="AE40" s="15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15">
        <f>IF([U] = "U", SUMPRODUCT(N([DATA BASE]=NC[[#This Row],[DATA BASE]]), N(['[D/N']] = "D"),    [LUCRO P/ OP]), 0)</f>
        <v>0</v>
      </c>
      <c r="AH40" s="20">
        <f>IF([ TRIB. '[N']] &gt; 0,     ROUND([ TRIB. '[N']]*0.15,    2),    0)</f>
        <v>0</v>
      </c>
      <c r="AI40" s="20">
        <f>IF([LUCRO TRIB. DT] &gt; 0,     ROUND([LUCRO TRIB. DT]*0.2,    2)  -  SUMPRODUCT(N([DATA BASE]=NC[[#This Row],[DATA BASE]]),    [IRRF FONTE]),    0)</f>
        <v>0</v>
      </c>
      <c r="AJ40" s="19">
        <f>[IR '[N']] + [IR DEVIDO DT]</f>
        <v>0</v>
      </c>
      <c r="AK40" s="20">
        <f>IF(AND([U] = "U",[IR DEVIDO] &gt; 0), [IR DEVIDO] + 8.9, 0)</f>
        <v>0</v>
      </c>
      <c r="AL40" s="20">
        <f>[LUCRO '[N']]  + [LUCRO TRIB. DT] - [RESGATE]</f>
        <v>0</v>
      </c>
    </row>
    <row r="41" spans="1:38">
      <c r="A41" s="13">
        <v>40</v>
      </c>
      <c r="B41" s="48" t="s">
        <v>53</v>
      </c>
      <c r="C41" s="61" t="s">
        <v>98</v>
      </c>
      <c r="D41" s="48" t="s">
        <v>73</v>
      </c>
      <c r="E41" s="49">
        <v>41047</v>
      </c>
      <c r="F41" s="48">
        <v>900</v>
      </c>
      <c r="G41" s="47">
        <v>0.04</v>
      </c>
      <c r="H41" s="48" t="s">
        <v>6</v>
      </c>
      <c r="I41" s="49">
        <f>WORKDAY(NC[[#This Row],[DATA]],1,0)</f>
        <v>41050</v>
      </c>
      <c r="J41" s="50">
        <f>EOMONTH(NC[[#This Row],[DATA DE LIQUIDAÇÃO]],0)</f>
        <v>41060</v>
      </c>
      <c r="K41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47">
        <f>[QTDE]*[PREÇO]</f>
        <v>36</v>
      </c>
      <c r="M41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N41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41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1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41" s="47">
        <f>SETUP!$E$3*SUMPRODUCT(N([DATA]=NC[[#This Row],[DATA]]),N([ID]&lt;=NC[[#This Row],[ID]]))</f>
        <v>29.8</v>
      </c>
      <c r="R41" s="47">
        <f>TRUNC([CORRETAGEM]*SETUP!$F$3,2)</f>
        <v>0.59</v>
      </c>
      <c r="S41" s="47">
        <f>ROUND([CORRETAGEM]*SETUP!$G$3,2)</f>
        <v>1.1599999999999999</v>
      </c>
      <c r="T41" s="47">
        <f>[VALOR LÍQUIDO DAS OPERAÇÕES]-[TAXA DE LIQUIDAÇÃO]-[EMOLUMENTOS]-[TAXA DE REGISTRO]-[CORRETAGEM]-[ISS]-IF(['[D/N']]="D",    0,    [OUTRAS BOVESPA])</f>
        <v>-96.62</v>
      </c>
      <c r="U41" s="47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-96.62</v>
      </c>
      <c r="W41" s="51">
        <f>[LÍQUIDO]-SUMPRODUCT(N([DATA]=NC[[#This Row],[DATA]]),N([ID]=(NC[[#This Row],[ID]]-1)),[LÍQUIDO])</f>
        <v>-51.820000000000007</v>
      </c>
      <c r="X41" s="47">
        <f>IF([T] = "VC", ABS([VALOR OP]) / [QTDE], [VALOR OP]/[QTDE])</f>
        <v>5.7577777777777783E-2</v>
      </c>
      <c r="Y41" s="47">
        <f>TRUNC(IF(OR([T]="CV",[T]="VV"),     L41*SETUP!$H$3,     0),2)</f>
        <v>0</v>
      </c>
      <c r="Z41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B41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41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D41" s="47">
        <f>IF([LUCRO TMP] &lt;&gt; 0, [LUCRO TMP] - SUMPRODUCT(N([ATIVO]=NC[[#This Row],[ATIVO]]),N(['[D/N']]="N"),N([ID]&lt;NC[[#This Row],[ID]]),N([PAR]=NC[[#This Row],[PAR]]), [LUCRO TMP]), 0)</f>
        <v>849.17000000000019</v>
      </c>
      <c r="AE41" s="47">
        <f>IF([U] = "U", SUMPRODUCT(N([ID]&lt;=NC[[#This Row],[ID]]),N([DATA BASE]=NC[[#This Row],[DATA BASE]]), N(['[D/N']] = "N"),    [LUCRO P/ OP]), 0)</f>
        <v>1158.69</v>
      </c>
      <c r="AF41" s="15">
        <f>IF([U] = "U",[LUCRO '[N']] + SUMPRODUCT(N(MONTH([DATA BASE])&lt;MONTH(NC[[#This Row],[DATA BASE]]) ), [LUCRO '[N']]),0)</f>
        <v>-456.19999999999982</v>
      </c>
      <c r="AG41" s="47">
        <f>IF([U] = "U", SUMPRODUCT(N([DATA BASE]=NC[[#This Row],[DATA BASE]]), N(['[D/N']] = "D"),    [LUCRO P/ OP]), 0)</f>
        <v>0</v>
      </c>
      <c r="AH41" s="51">
        <f>IF([ TRIB. '[N']] &gt; 0,     ROUND([ TRIB. '[N']]*0.15,    2),    0)</f>
        <v>0</v>
      </c>
      <c r="AI41" s="51">
        <f>IF([LUCRO TRIB. DT] &gt; 0,     ROUND([LUCRO TRIB. DT]*0.2,    2)  -  SUMPRODUCT(N([DATA BASE]=NC[[#This Row],[DATA BASE]]),    [IRRF FONTE]),    0)</f>
        <v>0</v>
      </c>
      <c r="AJ41" s="54">
        <f>[IR '[N']] + [IR DEVIDO DT]</f>
        <v>0</v>
      </c>
      <c r="AK41" s="51">
        <f>IF(AND([U] = "U",[IR DEVIDO] &gt; 0), [IR DEVIDO] + 8.9, 0)</f>
        <v>0</v>
      </c>
      <c r="AL41" s="51">
        <f>[LUCRO '[N']]  + [LUCRO TRIB. DT] - [RESGATE]</f>
        <v>1158.69</v>
      </c>
    </row>
    <row r="42" spans="1:38">
      <c r="A42" s="13">
        <v>41</v>
      </c>
      <c r="B42" s="31"/>
      <c r="C42" s="61" t="s">
        <v>70</v>
      </c>
      <c r="D42" s="31" t="s">
        <v>25</v>
      </c>
      <c r="E42" s="32">
        <v>41050</v>
      </c>
      <c r="F42" s="31">
        <v>100</v>
      </c>
      <c r="G42" s="30">
        <v>0</v>
      </c>
      <c r="H42" s="31" t="s">
        <v>6</v>
      </c>
      <c r="I42" s="32">
        <f>WORKDAY(NC[[#This Row],[DATA]],1,0)</f>
        <v>41051</v>
      </c>
      <c r="J42" s="33">
        <f>EOMONTH(NC[[#This Row],[DATA DE LIQUIDAÇÃO]],0)</f>
        <v>41060</v>
      </c>
      <c r="K42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30">
        <f>[QTDE]*[PREÇO]</f>
        <v>0</v>
      </c>
      <c r="M42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2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2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2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2" s="30">
        <f>SETUP!$E$3*SUMPRODUCT(N([DATA]=NC[[#This Row],[DATA]]),N([ID]&lt;=NC[[#This Row],[ID]]))</f>
        <v>14.9</v>
      </c>
      <c r="R42" s="30">
        <f>TRUNC([CORRETAGEM]*SETUP!$F$3,2)</f>
        <v>0.28999999999999998</v>
      </c>
      <c r="S42" s="30">
        <f>ROUND([CORRETAGEM]*SETUP!$G$3,2)</f>
        <v>0.57999999999999996</v>
      </c>
      <c r="T42" s="30">
        <f>[VALOR LÍQUIDO DAS OPERAÇÕES]-[TAXA DE LIQUIDAÇÃO]-[EMOLUMENTOS]-[TAXA DE REGISTRO]-[CORRETAGEM]-[ISS]-IF(['[D/N']]="D",    0,    [OUTRAS BOVESPA])</f>
        <v>-15.77</v>
      </c>
      <c r="U42" s="30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0</v>
      </c>
      <c r="W42" s="34">
        <f>[LÍQUIDO]-SUMPRODUCT(N([DATA]=NC[[#This Row],[DATA]]),N([ID]=(NC[[#This Row],[ID]]-1)),[LÍQUIDO])</f>
        <v>0</v>
      </c>
      <c r="X42" s="30">
        <f>IF([T] = "VC", ABS([VALOR OP]) / [QTDE], [VALOR OP]/[QTDE])</f>
        <v>0</v>
      </c>
      <c r="Y42" s="30">
        <f>TRUNC(IF(OR([T]="CV",[T]="VV"),     L42*SETUP!$H$3,     0),2)</f>
        <v>0</v>
      </c>
      <c r="Z42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2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2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2" s="30">
        <f>IF([LUCRO TMP] &lt;&gt; 0, [LUCRO TMP] - SUMPRODUCT(N([ATIVO]=NC[[#This Row],[ATIVO]]),N(['[D/N']]="N"),N([ID]&lt;NC[[#This Row],[ID]]),N([PAR]=NC[[#This Row],[PAR]]), [LUCRO TMP]), 0)</f>
        <v>-90.86</v>
      </c>
      <c r="AE42" s="30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30">
        <f>IF([U] = "U", SUMPRODUCT(N([DATA BASE]=NC[[#This Row],[DATA BASE]]), N(['[D/N']] = "D"),    [LUCRO P/ OP]), 0)</f>
        <v>0</v>
      </c>
      <c r="AH42" s="34">
        <f>IF([ TRIB. '[N']] &gt; 0,     ROUND([ TRIB. '[N']]*0.15,    2),    0)</f>
        <v>0</v>
      </c>
      <c r="AI42" s="34">
        <f>IF([LUCRO TRIB. DT] &gt; 0,     ROUND([LUCRO TRIB. DT]*0.2,    2)  -  SUMPRODUCT(N([DATA BASE]=NC[[#This Row],[DATA BASE]]),    [IRRF FONTE]),    0)</f>
        <v>0</v>
      </c>
      <c r="AJ42" s="36">
        <f>[IR '[N']] + [IR DEVIDO DT]</f>
        <v>0</v>
      </c>
      <c r="AK42" s="34">
        <f>IF(AND([U] = "U",[IR DEVIDO] &gt; 0), [IR DEVIDO] + 8.9, 0)</f>
        <v>0</v>
      </c>
      <c r="AL42" s="34">
        <f>[LUCRO '[N']]  + [LUCRO TRIB. DT] - [RESGATE]</f>
        <v>0</v>
      </c>
    </row>
    <row r="43" spans="1:38">
      <c r="A43" s="13">
        <v>42</v>
      </c>
      <c r="B43" s="13"/>
      <c r="C43" s="13" t="s">
        <v>82</v>
      </c>
      <c r="D43" s="13" t="s">
        <v>25</v>
      </c>
      <c r="E43" s="14">
        <v>41050</v>
      </c>
      <c r="F43" s="13">
        <v>400</v>
      </c>
      <c r="G43" s="15">
        <v>0</v>
      </c>
      <c r="H43" s="13" t="s">
        <v>6</v>
      </c>
      <c r="I43" s="14">
        <f>WORKDAY(NC[[#This Row],[DATA]],1,0)</f>
        <v>41051</v>
      </c>
      <c r="J43" s="22">
        <f>EOMONTH(NC[[#This Row],[DATA DE LIQUIDAÇÃO]],0)</f>
        <v>41060</v>
      </c>
      <c r="K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15">
        <f>[QTDE]*[PREÇO]</f>
        <v>0</v>
      </c>
      <c r="M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3" s="15">
        <f>SETUP!$E$3*SUMPRODUCT(N([DATA]=NC[[#This Row],[DATA]]),N([ID]&lt;=NC[[#This Row],[ID]]))</f>
        <v>29.8</v>
      </c>
      <c r="R43" s="15">
        <f>TRUNC([CORRETAGEM]*SETUP!$F$3,2)</f>
        <v>0.59</v>
      </c>
      <c r="S43" s="15">
        <f>ROUND([CORRETAGEM]*SETUP!$G$3,2)</f>
        <v>1.1599999999999999</v>
      </c>
      <c r="T43" s="15">
        <f>[VALOR LÍQUIDO DAS OPERAÇÕES]-[TAXA DE LIQUIDAÇÃO]-[EMOLUMENTOS]-[TAXA DE REGISTRO]-[CORRETAGEM]-[ISS]-IF(['[D/N']]="D",    0,    [OUTRAS BOVESPA])</f>
        <v>-31.55</v>
      </c>
      <c r="U43" s="15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0</v>
      </c>
      <c r="W43" s="20">
        <f>[LÍQUIDO]-SUMPRODUCT(N([DATA]=NC[[#This Row],[DATA]]),N([ID]=(NC[[#This Row],[ID]]-1)),[LÍQUIDO])</f>
        <v>0</v>
      </c>
      <c r="X43" s="15">
        <f>IF([T] = "VC", ABS([VALOR OP]) / [QTDE], [VALOR OP]/[QTDE])</f>
        <v>0</v>
      </c>
      <c r="Y43" s="15">
        <f>TRUNC(IF(OR([T]="CV",[T]="VV"),     L43*SETUP!$H$3,     0),2)</f>
        <v>0</v>
      </c>
      <c r="Z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3" s="15">
        <f>IF([LUCRO TMP] &lt;&gt; 0, [LUCRO TMP] - SUMPRODUCT(N([ATIVO]=NC[[#This Row],[ATIVO]]),N(['[D/N']]="N"),N([ID]&lt;NC[[#This Row],[ID]]),N([PAR]=NC[[#This Row],[PAR]]), [LUCRO TMP]), 0)</f>
        <v>-123.89000000000001</v>
      </c>
      <c r="AE43" s="15">
        <f>IF([U] = "U", SUMPRODUCT(N([ID]&lt;=NC[[#This Row],[ID]]),N([DATA BASE]=NC[[#This Row],[DATA BASE]]), N(['[D/N']] = "N"),    [LUCRO P/ OP]), 0)</f>
        <v>0</v>
      </c>
      <c r="AF43" s="15">
        <f>IF([U] = "U",[LUCRO '[N']] + SUMPRODUCT(N(MONTH([DATA BASE])&lt;MONTH(NC[[#This Row],[DATA BASE]]) ), [LUCRO '[N']]),0)</f>
        <v>0</v>
      </c>
      <c r="AG43" s="15">
        <f>IF([U] = "U", SUMPRODUCT(N([DATA BASE]=NC[[#This Row],[DATA BASE]]), N(['[D/N']] = "D"),    [LUCRO P/ OP]), 0)</f>
        <v>0</v>
      </c>
      <c r="AH43" s="20">
        <f>IF([ TRIB. '[N']] &gt; 0,     ROUND([ TRIB. '[N']]*0.15,    2),    0)</f>
        <v>0</v>
      </c>
      <c r="AI43" s="20">
        <f>IF([LUCRO TRIB. DT] &gt; 0,     ROUND([LUCRO TRIB. DT]*0.2,    2)  -  SUMPRODUCT(N([DATA BASE]=NC[[#This Row],[DATA BASE]]),    [IRRF FONTE]),    0)</f>
        <v>0</v>
      </c>
      <c r="AJ43" s="19">
        <f>[IR '[N']] + [IR DEVIDO DT]</f>
        <v>0</v>
      </c>
      <c r="AK43" s="20">
        <f>IF(AND([U] = "U",[IR DEVIDO] &gt; 0), [IR DEVIDO] + 8.9, 0)</f>
        <v>0</v>
      </c>
      <c r="AL43" s="20">
        <f>[LUCRO '[N']]  + [LUCRO TRIB. DT] - [RESGATE]</f>
        <v>0</v>
      </c>
    </row>
    <row r="44" spans="1:38">
      <c r="A44" s="13">
        <v>43</v>
      </c>
      <c r="B44" s="13"/>
      <c r="C44" s="61" t="s">
        <v>85</v>
      </c>
      <c r="D44" s="13" t="s">
        <v>25</v>
      </c>
      <c r="E44" s="14">
        <v>41050</v>
      </c>
      <c r="F44" s="13">
        <v>100</v>
      </c>
      <c r="G44" s="30">
        <v>0</v>
      </c>
      <c r="H44" s="13" t="s">
        <v>6</v>
      </c>
      <c r="I44" s="14">
        <f>WORKDAY(NC[[#This Row],[DATA]],1,0)</f>
        <v>41051</v>
      </c>
      <c r="J44" s="22">
        <f>EOMONTH(NC[[#This Row],[DATA DE LIQUIDAÇÃO]],0)</f>
        <v>41060</v>
      </c>
      <c r="K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4" s="15">
        <f>[QTDE]*[PREÇO]</f>
        <v>0</v>
      </c>
      <c r="M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4" s="15">
        <f>SETUP!$E$3*SUMPRODUCT(N([DATA]=NC[[#This Row],[DATA]]),N([ID]&lt;=NC[[#This Row],[ID]]))</f>
        <v>44.7</v>
      </c>
      <c r="R44" s="15">
        <f>TRUNC([CORRETAGEM]*SETUP!$F$3,2)</f>
        <v>0.89</v>
      </c>
      <c r="S44" s="15">
        <f>ROUND([CORRETAGEM]*SETUP!$G$3,2)</f>
        <v>1.74</v>
      </c>
      <c r="T44" s="15">
        <f>[VALOR LÍQUIDO DAS OPERAÇÕES]-[TAXA DE LIQUIDAÇÃO]-[EMOLUMENTOS]-[TAXA DE REGISTRO]-[CORRETAGEM]-[ISS]-IF(['[D/N']]="D",    0,    [OUTRAS BOVESPA])</f>
        <v>-47.330000000000005</v>
      </c>
      <c r="U44" s="15">
        <f>IF(AND(['[D/N']]="D",    [T]="CV"),    ROUND([LÍQUIDO BASE]*0.01, 2),    0)</f>
        <v>0</v>
      </c>
      <c r="V44" s="15">
        <f>IF([PREÇO] &gt; 0,    [LÍQUIDO BASE]-SUMPRODUCT(N([DATA]=NC[[#This Row],[DATA]]),    [IRRF FONTE]),    0)</f>
        <v>0</v>
      </c>
      <c r="W44" s="20">
        <f>[LÍQUIDO]-SUMPRODUCT(N([DATA]=NC[[#This Row],[DATA]]),N([ID]=(NC[[#This Row],[ID]]-1)),[LÍQUIDO])</f>
        <v>0</v>
      </c>
      <c r="X44" s="15">
        <f>IF([T] = "VC", ABS([VALOR OP]) / [QTDE], [VALOR OP]/[QTDE])</f>
        <v>0</v>
      </c>
      <c r="Y44" s="15">
        <f>TRUNC(IF(OR([T]="CV",[T]="VV"),     L44*SETUP!$H$3,     0),2)</f>
        <v>0</v>
      </c>
      <c r="Z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D44" s="15">
        <f>IF([LUCRO TMP] &lt;&gt; 0, [LUCRO TMP] - SUMPRODUCT(N([ATIVO]=NC[[#This Row],[ATIVO]]),N(['[D/N']]="N"),N([ID]&lt;NC[[#This Row],[ID]]),N([PAR]=NC[[#This Row],[PAR]]), [LUCRO TMP]), 0)</f>
        <v>-45.8</v>
      </c>
      <c r="AE44" s="15">
        <f>IF([U] = "U", SUMPRODUCT(N([ID]&lt;=NC[[#This Row],[ID]]),N([DATA BASE]=NC[[#This Row],[DATA BASE]]), N(['[D/N']] = "N"),    [LUCRO P/ OP]), 0)</f>
        <v>0</v>
      </c>
      <c r="AF44" s="15">
        <f>IF([U] = "U",[LUCRO '[N']] + SUMPRODUCT(N(MONTH([DATA BASE])&lt;MONTH(NC[[#This Row],[DATA BASE]]) ), [LUCRO '[N']]),0)</f>
        <v>0</v>
      </c>
      <c r="AG44" s="15">
        <f>IF([U] = "U", SUMPRODUCT(N([DATA BASE]=NC[[#This Row],[DATA BASE]]), N(['[D/N']] = "D"),    [LUCRO P/ OP]), 0)</f>
        <v>0</v>
      </c>
      <c r="AH44" s="20">
        <f>IF([ TRIB. '[N']] &gt; 0,     ROUND([ TRIB. '[N']]*0.15,    2),    0)</f>
        <v>0</v>
      </c>
      <c r="AI44" s="20">
        <f>IF([LUCRO TRIB. DT] &gt; 0,     ROUND([LUCRO TRIB. DT]*0.2,    2)  -  SUMPRODUCT(N([DATA BASE]=NC[[#This Row],[DATA BASE]]),    [IRRF FONTE]),    0)</f>
        <v>0</v>
      </c>
      <c r="AJ44" s="19">
        <f>[IR '[N']] + [IR DEVIDO DT]</f>
        <v>0</v>
      </c>
      <c r="AK44" s="20">
        <f>IF(AND([U] = "U",[IR DEVIDO] &gt; 0), [IR DEVIDO] + 8.9, 0)</f>
        <v>0</v>
      </c>
      <c r="AL44" s="20">
        <f>[LUCRO '[N']]  + [LUCRO TRIB. DT] - [RESGATE]</f>
        <v>0</v>
      </c>
    </row>
    <row r="45" spans="1:38">
      <c r="A45" s="13">
        <v>44</v>
      </c>
      <c r="B45" s="48"/>
      <c r="C45" s="61" t="s">
        <v>93</v>
      </c>
      <c r="D45" s="48" t="s">
        <v>25</v>
      </c>
      <c r="E45" s="14">
        <v>41050</v>
      </c>
      <c r="F45" s="48">
        <v>900</v>
      </c>
      <c r="G45" s="47">
        <v>0</v>
      </c>
      <c r="H45" s="48" t="s">
        <v>6</v>
      </c>
      <c r="I45" s="49">
        <f>WORKDAY(NC[[#This Row],[DATA]],1,0)</f>
        <v>41051</v>
      </c>
      <c r="J45" s="50">
        <f>EOMONTH(NC[[#This Row],[DATA DE LIQUIDAÇÃO]],0)</f>
        <v>41060</v>
      </c>
      <c r="K45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5" s="47">
        <f>[QTDE]*[PREÇO]</f>
        <v>0</v>
      </c>
      <c r="M45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5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5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5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5" s="47">
        <f>SETUP!$E$3*SUMPRODUCT(N([DATA]=NC[[#This Row],[DATA]]),N([ID]&lt;=NC[[#This Row],[ID]]))</f>
        <v>59.6</v>
      </c>
      <c r="R45" s="47">
        <f>TRUNC([CORRETAGEM]*SETUP!$F$3,2)</f>
        <v>1.19</v>
      </c>
      <c r="S45" s="47">
        <f>ROUND([CORRETAGEM]*SETUP!$G$3,2)</f>
        <v>2.3199999999999998</v>
      </c>
      <c r="T45" s="47">
        <f>[VALOR LÍQUIDO DAS OPERAÇÕES]-[TAXA DE LIQUIDAÇÃO]-[EMOLUMENTOS]-[TAXA DE REGISTRO]-[CORRETAGEM]-[ISS]-IF(['[D/N']]="D",    0,    [OUTRAS BOVESPA])</f>
        <v>-63.11</v>
      </c>
      <c r="U45" s="47">
        <f>IF(AND(['[D/N']]="D",    [T]="CV"),    ROUND([LÍQUIDO BASE]*0.01, 2),    0)</f>
        <v>0</v>
      </c>
      <c r="V45" s="15">
        <f>IF([PREÇO] &gt; 0,    [LÍQUIDO BASE]-SUMPRODUCT(N([DATA]=NC[[#This Row],[DATA]]),    [IRRF FONTE]),    0)</f>
        <v>0</v>
      </c>
      <c r="W45" s="51">
        <f>[LÍQUIDO]-SUMPRODUCT(N([DATA]=NC[[#This Row],[DATA]]),N([ID]=(NC[[#This Row],[ID]]-1)),[LÍQUIDO])</f>
        <v>0</v>
      </c>
      <c r="X45" s="47">
        <f>IF([T] = "VC", ABS([VALOR OP]) / [QTDE], [VALOR OP]/[QTDE])</f>
        <v>0</v>
      </c>
      <c r="Y45" s="47">
        <f>TRUNC(IF(OR([T]="CV",[T]="VV"),     L45*SETUP!$H$3,     0),2)</f>
        <v>0</v>
      </c>
      <c r="Z45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5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5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5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D45" s="47">
        <f>IF([LUCRO TMP] &lt;&gt; 0, [LUCRO TMP] - SUMPRODUCT(N([ATIVO]=NC[[#This Row],[ATIVO]]),N(['[D/N']]="N"),N([ID]&lt;NC[[#This Row],[ID]]),N([PAR]=NC[[#This Row],[PAR]]), [LUCRO TMP]), 0)</f>
        <v>-466.37</v>
      </c>
      <c r="AE45" s="47">
        <f>IF([U] = "U", SUMPRODUCT(N([ID]&lt;=NC[[#This Row],[ID]]),N([DATA BASE]=NC[[#This Row],[DATA BASE]]), N(['[D/N']] = "N"),    [LUCRO P/ OP]), 0)</f>
        <v>0</v>
      </c>
      <c r="AF45" s="15">
        <f>IF([U] = "U",[LUCRO '[N']] + SUMPRODUCT(N(MONTH([DATA BASE])&lt;MONTH(NC[[#This Row],[DATA BASE]]) ), [LUCRO '[N']]),0)</f>
        <v>0</v>
      </c>
      <c r="AG45" s="47">
        <f>IF([U] = "U", SUMPRODUCT(N([DATA BASE]=NC[[#This Row],[DATA BASE]]), N(['[D/N']] = "D"),    [LUCRO P/ OP]), 0)</f>
        <v>0</v>
      </c>
      <c r="AH45" s="51">
        <f>IF([ TRIB. '[N']] &gt; 0,     ROUND([ TRIB. '[N']]*0.15,    2),    0)</f>
        <v>0</v>
      </c>
      <c r="AI45" s="51">
        <f>IF([LUCRO TRIB. DT] &gt; 0,     ROUND([LUCRO TRIB. DT]*0.2,    2)  -  SUMPRODUCT(N([DATA BASE]=NC[[#This Row],[DATA BASE]]),    [IRRF FONTE]),    0)</f>
        <v>0</v>
      </c>
      <c r="AJ45" s="54">
        <f>[IR '[N']] + [IR DEVIDO DT]</f>
        <v>0</v>
      </c>
      <c r="AK45" s="51">
        <f>IF(AND([U] = "U",[IR DEVIDO] &gt; 0), [IR DEVIDO] + 8.9, 0)</f>
        <v>0</v>
      </c>
      <c r="AL45" s="51">
        <f>[LUCRO '[N']]  + [LUCRO TRIB. DT] - [RESGATE]</f>
        <v>0</v>
      </c>
    </row>
    <row r="46" spans="1:38">
      <c r="A46" s="13">
        <v>45</v>
      </c>
      <c r="B46" s="13"/>
      <c r="C46" s="61" t="s">
        <v>125</v>
      </c>
      <c r="D46" s="48" t="s">
        <v>72</v>
      </c>
      <c r="E46" s="49">
        <v>41051</v>
      </c>
      <c r="F46" s="48">
        <v>1000</v>
      </c>
      <c r="G46" s="47">
        <v>0.94</v>
      </c>
      <c r="H46" s="13" t="s">
        <v>6</v>
      </c>
      <c r="I46" s="49">
        <f>WORKDAY(NC[[#This Row],[DATA]],1,0)</f>
        <v>41052</v>
      </c>
      <c r="J46" s="50">
        <f>EOMONTH(NC[[#This Row],[DATA DE LIQUIDAÇÃO]],0)</f>
        <v>41060</v>
      </c>
      <c r="K46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6" s="47">
        <f>[QTDE]*[PREÇO]</f>
        <v>940</v>
      </c>
      <c r="M46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N46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46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46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Q46" s="47">
        <f>SETUP!$E$3*SUMPRODUCT(N([DATA]=NC[[#This Row],[DATA]]),N([ID]&lt;=NC[[#This Row],[ID]]))</f>
        <v>14.9</v>
      </c>
      <c r="R46" s="47">
        <f>TRUNC([CORRETAGEM]*SETUP!$F$3,2)</f>
        <v>0.28999999999999998</v>
      </c>
      <c r="S46" s="47">
        <f>ROUND([CORRETAGEM]*SETUP!$G$3,2)</f>
        <v>0.57999999999999996</v>
      </c>
      <c r="T46" s="47">
        <f>[VALOR LÍQUIDO DAS OPERAÇÕES]-[TAXA DE LIQUIDAÇÃO]-[EMOLUMENTOS]-[TAXA DE REGISTRO]-[CORRETAGEM]-[ISS]-IF(['[D/N']]="D",    0,    [OUTRAS BOVESPA])</f>
        <v>922.99</v>
      </c>
      <c r="U46" s="47">
        <f>IF(AND(['[D/N']]="D",    [T]="CV"),    ROUND([LÍQUIDO BASE]*0.01, 2),    0)</f>
        <v>0</v>
      </c>
      <c r="V46" s="15">
        <f>IF([PREÇO] &gt; 0,    [LÍQUIDO BASE]-SUMPRODUCT(N([DATA]=NC[[#This Row],[DATA]]),    [IRRF FONTE]),    0)</f>
        <v>922.99</v>
      </c>
      <c r="W46" s="51">
        <f>[LÍQUIDO]-SUMPRODUCT(N([DATA]=NC[[#This Row],[DATA]]),N([ID]=(NC[[#This Row],[ID]]-1)),[LÍQUIDO])</f>
        <v>922.99</v>
      </c>
      <c r="X46" s="47">
        <f>IF([T] = "VC", ABS([VALOR OP]) / [QTDE], [VALOR OP]/[QTDE])</f>
        <v>0.92298999999999998</v>
      </c>
      <c r="Y46" s="47">
        <f>TRUNC(IF(OR([T]="CV",[T]="VV"),     L46*SETUP!$H$3,     0),2)</f>
        <v>0.04</v>
      </c>
      <c r="Z46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A46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46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6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6" s="47">
        <f>IF([LUCRO TMP] &lt;&gt; 0, [LUCRO TMP] - SUMPRODUCT(N([ATIVO]=NC[[#This Row],[ATIVO]]),N(['[D/N']]="N"),N([ID]&lt;NC[[#This Row],[ID]]),N([PAR]=NC[[#This Row],[PAR]]), [LUCRO TMP]), 0)</f>
        <v>0</v>
      </c>
      <c r="AE46" s="47">
        <f>IF([U] = "U", SUMPRODUCT(N([ID]&lt;=NC[[#This Row],[ID]]),N([DATA BASE]=NC[[#This Row],[DATA BASE]]), N(['[D/N']] = "N"),    [LUCRO P/ OP]), 0)</f>
        <v>0</v>
      </c>
      <c r="AF46" s="15">
        <f>IF([U] = "U",[LUCRO '[N']] + SUMPRODUCT(N(MONTH([DATA BASE])&lt;MONTH(NC[[#This Row],[DATA BASE]]) ), [LUCRO '[N']]),0)</f>
        <v>0</v>
      </c>
      <c r="AG46" s="47">
        <f>IF([U] = "U", SUMPRODUCT(N([DATA BASE]=NC[[#This Row],[DATA BASE]]), N(['[D/N']] = "D"),    [LUCRO P/ OP]), 0)</f>
        <v>0</v>
      </c>
      <c r="AH46" s="51">
        <f>IF([ TRIB. '[N']] &gt; 0,     ROUND([ TRIB. '[N']]*0.15,    2),    0)</f>
        <v>0</v>
      </c>
      <c r="AI46" s="51">
        <f>IF([LUCRO TRIB. DT] &gt; 0,     ROUND([LUCRO TRIB. DT]*0.2,    2)  -  SUMPRODUCT(N([DATA BASE]=NC[[#This Row],[DATA BASE]]),    [IRRF FONTE]),    0)</f>
        <v>0</v>
      </c>
      <c r="AJ46" s="54">
        <f>[IR '[N']] + [IR DEVIDO DT]</f>
        <v>0</v>
      </c>
      <c r="AK46" s="51">
        <f>IF(AND([U] = "U",[IR DEVIDO] &gt; 0), [IR DEVIDO] + 8.9, 0)</f>
        <v>0</v>
      </c>
      <c r="AL46" s="51">
        <f>[LUCRO '[N']]  + [LUCRO TRIB. DT] - [RESGATE]</f>
        <v>0</v>
      </c>
    </row>
    <row r="47" spans="1:38">
      <c r="A47" s="13">
        <v>46</v>
      </c>
      <c r="B47" s="13" t="s">
        <v>53</v>
      </c>
      <c r="C47" s="61" t="s">
        <v>126</v>
      </c>
      <c r="D47" s="13" t="s">
        <v>24</v>
      </c>
      <c r="E47" s="14">
        <v>41051</v>
      </c>
      <c r="F47" s="13">
        <v>1000</v>
      </c>
      <c r="G47" s="15">
        <v>0.45</v>
      </c>
      <c r="H47" s="13" t="s">
        <v>6</v>
      </c>
      <c r="I47" s="14">
        <f>WORKDAY(NC[[#This Row],[DATA]],1,0)</f>
        <v>41052</v>
      </c>
      <c r="J47" s="62">
        <f>EOMONTH(NC[[#This Row],[DATA DE LIQUIDAÇÃO]],0)</f>
        <v>41060</v>
      </c>
      <c r="K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7" s="15">
        <f>[QTDE]*[PREÇO]</f>
        <v>450</v>
      </c>
      <c r="M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N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O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P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Q47" s="15">
        <f>SETUP!$E$3*SUMPRODUCT(N([DATA]=NC[[#This Row],[DATA]]),N([ID]&lt;=NC[[#This Row],[ID]]))</f>
        <v>29.8</v>
      </c>
      <c r="R47" s="15">
        <f>TRUNC([CORRETAGEM]*SETUP!$F$3,2)</f>
        <v>0.59</v>
      </c>
      <c r="S47" s="15">
        <f>ROUND([CORRETAGEM]*SETUP!$G$3,2)</f>
        <v>1.1599999999999999</v>
      </c>
      <c r="T47" s="15">
        <f>[VALOR LÍQUIDO DAS OPERAÇÕES]-[TAXA DE LIQUIDAÇÃO]-[EMOLUMENTOS]-[TAXA DE REGISTRO]-[CORRETAGEM]-[ISS]-IF(['[D/N']]="D",    0,    [OUTRAS BOVESPA])</f>
        <v>456.6</v>
      </c>
      <c r="U47" s="15">
        <f>IF(AND(['[D/N']]="D",    [T]="CV"),    ROUND([LÍQUIDO BASE]*0.01, 2),    0)</f>
        <v>0</v>
      </c>
      <c r="V47" s="15">
        <f>IF([PREÇO] &gt; 0,    [LÍQUIDO BASE]-SUMPRODUCT(N([DATA]=NC[[#This Row],[DATA]]),    [IRRF FONTE]),    0)</f>
        <v>456.6</v>
      </c>
      <c r="W47" s="20">
        <f>[LÍQUIDO]-SUMPRODUCT(N([DATA]=NC[[#This Row],[DATA]]),N([ID]=(NC[[#This Row],[ID]]-1)),[LÍQUIDO])</f>
        <v>-466.39</v>
      </c>
      <c r="X47" s="15">
        <f>IF([T] = "VC", ABS([VALOR OP]) / [QTDE], [VALOR OP]/[QTDE])</f>
        <v>-0.46638999999999997</v>
      </c>
      <c r="Y47" s="15">
        <f>TRUNC(IF(OR([T]="CV",[T]="VV"),     L47*SETUP!$H$3,     0),2)</f>
        <v>0</v>
      </c>
      <c r="Z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A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7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7" s="15">
        <f>IF([LUCRO TMP] &lt;&gt; 0, [LUCRO TMP] - SUMPRODUCT(N([ATIVO]=NC[[#This Row],[ATIVO]]),N(['[D/N']]="N"),N([ID]&lt;NC[[#This Row],[ID]]),N([PAR]=NC[[#This Row],[PAR]]), [LUCRO TMP]), 0)</f>
        <v>0</v>
      </c>
      <c r="AE47" s="15">
        <f>IF([U] = "U", SUMPRODUCT(N([ID]&lt;=NC[[#This Row],[ID]]),N([DATA BASE]=NC[[#This Row],[DATA BASE]]), N(['[D/N']] = "N"),    [LUCRO P/ OP]), 0)</f>
        <v>431.77000000000021</v>
      </c>
      <c r="AF47" s="15">
        <f>IF([U] = "U",[LUCRO '[N']] + SUMPRODUCT(N(MONTH([DATA BASE])&lt;MONTH(NC[[#This Row],[DATA BASE]]) ), [LUCRO '[N']]),0)</f>
        <v>-1183.1199999999997</v>
      </c>
      <c r="AG47" s="15">
        <f>IF([U] = "U", SUMPRODUCT(N([DATA BASE]=NC[[#This Row],[DATA BASE]]), N(['[D/N']] = "D"),    [LUCRO P/ OP]), 0)</f>
        <v>0</v>
      </c>
      <c r="AH47" s="20">
        <f>IF([ TRIB. '[N']] &gt; 0,     ROUND([ TRIB. '[N']]*0.15,    2),    0)</f>
        <v>0</v>
      </c>
      <c r="AI47" s="20">
        <f>IF([LUCRO TRIB. DT] &gt; 0,     ROUND([LUCRO TRIB. DT]*0.2,    2)  -  SUMPRODUCT(N([DATA BASE]=NC[[#This Row],[DATA BASE]]),    [IRRF FONTE]),    0)</f>
        <v>0</v>
      </c>
      <c r="AJ47" s="19">
        <f>[IR '[N']] + [IR DEVIDO DT]</f>
        <v>0</v>
      </c>
      <c r="AK47" s="20">
        <f>IF(AND([U] = "U",[IR DEVIDO] &gt; 0), [IR DEVIDO] + 8.9, 0)</f>
        <v>0</v>
      </c>
      <c r="AL47" s="20">
        <f>[LUCRO '[N']]  + [LUCRO TRIB. DT] - [RESGATE]</f>
        <v>431.77000000000021</v>
      </c>
    </row>
    <row r="48" spans="1:38">
      <c r="A48" s="13">
        <v>47</v>
      </c>
      <c r="B48" s="13"/>
      <c r="C48" s="61" t="s">
        <v>114</v>
      </c>
      <c r="D48" s="13" t="s">
        <v>25</v>
      </c>
      <c r="E48" s="14">
        <v>41078</v>
      </c>
      <c r="F48" s="13">
        <v>200</v>
      </c>
      <c r="G48" s="15">
        <v>0.54</v>
      </c>
      <c r="H48" s="13" t="s">
        <v>6</v>
      </c>
      <c r="I48" s="14">
        <f>WORKDAY(NC[[#This Row],[DATA]],1,0)</f>
        <v>41079</v>
      </c>
      <c r="J48" s="62">
        <f>EOMONTH(NC[[#This Row],[DATA DE LIQUIDAÇÃO]],0)</f>
        <v>41090</v>
      </c>
      <c r="K4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8" s="15">
        <f>[QTDE]*[PREÇO]</f>
        <v>108</v>
      </c>
      <c r="M4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108</v>
      </c>
      <c r="N4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4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4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48" s="15">
        <f>SETUP!$E$3*SUMPRODUCT(N([DATA]=NC[[#This Row],[DATA]]),N([ID]&lt;=NC[[#This Row],[ID]]))</f>
        <v>14.9</v>
      </c>
      <c r="R48" s="15">
        <f>TRUNC([CORRETAGEM]*SETUP!$F$3,2)</f>
        <v>0.28999999999999998</v>
      </c>
      <c r="S48" s="15">
        <f>ROUND([CORRETAGEM]*SETUP!$G$3,2)</f>
        <v>0.57999999999999996</v>
      </c>
      <c r="T48" s="15">
        <f>[VALOR LÍQUIDO DAS OPERAÇÕES]-[TAXA DE LIQUIDAÇÃO]-[EMOLUMENTOS]-[TAXA DE REGISTRO]-[CORRETAGEM]-[ISS]-IF(['[D/N']]="D",    0,    [OUTRAS BOVESPA])</f>
        <v>92.11</v>
      </c>
      <c r="U48" s="15">
        <f>IF(AND(['[D/N']]="D",    [T]="CV"),    ROUND([LÍQUIDO BASE]*0.01, 2),    0)</f>
        <v>0</v>
      </c>
      <c r="V48" s="15">
        <f>IF([PREÇO] &gt; 0,    [LÍQUIDO BASE]-SUMPRODUCT(N([DATA]=NC[[#This Row],[DATA]]),    [IRRF FONTE]),    0)</f>
        <v>92.11</v>
      </c>
      <c r="W48" s="20">
        <f>[LÍQUIDO]-SUMPRODUCT(N([DATA]=NC[[#This Row],[DATA]]),N([ID]=(NC[[#This Row],[ID]]-1)),[LÍQUIDO])</f>
        <v>92.11</v>
      </c>
      <c r="X48" s="15">
        <f>IF([T] = "VC", ABS([VALOR OP]) / [QTDE], [VALOR OP]/[QTDE])</f>
        <v>0.46055000000000001</v>
      </c>
      <c r="Y48" s="15">
        <f>TRUNC(IF(OR([T]="CV",[T]="VV"),     L48*SETUP!$H$3,     0),2)</f>
        <v>0</v>
      </c>
      <c r="Z4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4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0.46055000000000001</v>
      </c>
      <c r="AC4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-61.830000000000027</v>
      </c>
      <c r="AD48" s="15">
        <f>IF([LUCRO TMP] &lt;&gt; 0, [LUCRO TMP] - SUMPRODUCT(N([ATIVO]=NC[[#This Row],[ATIVO]]),N(['[D/N']]="N"),N([ID]&lt;NC[[#This Row],[ID]]),N([PAR]=NC[[#This Row],[PAR]]), [LUCRO TMP]), 0)</f>
        <v>-61.830000000000027</v>
      </c>
      <c r="AE48" s="15">
        <f>IF([U] = "U", SUMPRODUCT(N([ID]&lt;=NC[[#This Row],[ID]]),N([DATA BASE]=NC[[#This Row],[DATA BASE]]), N(['[D/N']] = "N"),    [LUCRO P/ OP]), 0)</f>
        <v>0</v>
      </c>
      <c r="AF48" s="15">
        <f>IF([U] = "U",[LUCRO '[N']] + SUMPRODUCT(N(MONTH([DATA BASE])&lt;MONTH(NC[[#This Row],[DATA BASE]]) ), [LUCRO '[N']]),0)</f>
        <v>0</v>
      </c>
      <c r="AG48" s="15">
        <f>IF([U] = "U", SUMPRODUCT(N([DATA BASE]=NC[[#This Row],[DATA BASE]]), N(['[D/N']] = "D"),    [LUCRO P/ OP]), 0)</f>
        <v>0</v>
      </c>
      <c r="AH48" s="20">
        <f>IF([ TRIB. '[N']] &gt; 0,     ROUND([ TRIB. '[N']]*0.15,    2),    0)</f>
        <v>0</v>
      </c>
      <c r="AI48" s="20">
        <f>IF([LUCRO TRIB. DT] &gt; 0,     ROUND([LUCRO TRIB. DT]*0.2,    2)  -  SUMPRODUCT(N([DATA BASE]=NC[[#This Row],[DATA BASE]]),    [IRRF FONTE]),    0)</f>
        <v>0</v>
      </c>
      <c r="AJ48" s="19">
        <f>[IR '[N']] + [IR DEVIDO DT]</f>
        <v>0</v>
      </c>
      <c r="AK48" s="20">
        <f>IF(AND([U] = "U",[IR DEVIDO] &gt; 0), [IR DEVIDO] + 8.9, 0)</f>
        <v>0</v>
      </c>
      <c r="AL48" s="20">
        <f>[LUCRO '[N']]  + [LUCRO TRIB. DT] - [RESGATE]</f>
        <v>0</v>
      </c>
    </row>
    <row r="49" spans="1:38">
      <c r="A49" s="13">
        <v>48</v>
      </c>
      <c r="B49" s="13"/>
      <c r="C49" s="61" t="s">
        <v>115</v>
      </c>
      <c r="D49" s="13" t="s">
        <v>73</v>
      </c>
      <c r="E49" s="14">
        <v>41078</v>
      </c>
      <c r="F49" s="13">
        <v>200</v>
      </c>
      <c r="G49" s="15">
        <v>1.05</v>
      </c>
      <c r="H49" s="13" t="s">
        <v>6</v>
      </c>
      <c r="I49" s="14">
        <f>WORKDAY(NC[[#This Row],[DATA]],1,0)</f>
        <v>41079</v>
      </c>
      <c r="J49" s="62">
        <f>EOMONTH(NC[[#This Row],[DATA DE LIQUIDAÇÃO]],0)</f>
        <v>41090</v>
      </c>
      <c r="K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9" s="15">
        <f>[QTDE]*[PREÇO]</f>
        <v>210</v>
      </c>
      <c r="M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</v>
      </c>
      <c r="N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O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49" s="15">
        <f>SETUP!$E$3*SUMPRODUCT(N([DATA]=NC[[#This Row],[DATA]]),N([ID]&lt;=NC[[#This Row],[ID]]))</f>
        <v>29.8</v>
      </c>
      <c r="R49" s="15">
        <f>TRUNC([CORRETAGEM]*SETUP!$F$3,2)</f>
        <v>0.59</v>
      </c>
      <c r="S49" s="15">
        <f>ROUND([CORRETAGEM]*SETUP!$G$3,2)</f>
        <v>1.1599999999999999</v>
      </c>
      <c r="T49" s="15">
        <f>[VALOR LÍQUIDO DAS OPERAÇÕES]-[TAXA DE LIQUIDAÇÃO]-[EMOLUMENTOS]-[TAXA DE REGISTRO]-[CORRETAGEM]-[ISS]-IF(['[D/N']]="D",    0,    [OUTRAS BOVESPA])</f>
        <v>-133.96</v>
      </c>
      <c r="U49" s="15">
        <f>IF(AND(['[D/N']]="D",    [T]="CV"),    ROUND([LÍQUIDO BASE]*0.01, 2),    0)</f>
        <v>0</v>
      </c>
      <c r="V49" s="15">
        <f>IF([PREÇO] &gt; 0,    [LÍQUIDO BASE]-SUMPRODUCT(N([DATA]=NC[[#This Row],[DATA]]),    [IRRF FONTE]),    0)</f>
        <v>-133.96</v>
      </c>
      <c r="W49" s="20">
        <f>[LÍQUIDO]-SUMPRODUCT(N([DATA]=NC[[#This Row],[DATA]]),N([ID]=(NC[[#This Row],[ID]]-1)),[LÍQUIDO])</f>
        <v>-226.07</v>
      </c>
      <c r="X49" s="15">
        <f>IF([T] = "VC", ABS([VALOR OP]) / [QTDE], [VALOR OP]/[QTDE])</f>
        <v>1.13035</v>
      </c>
      <c r="Y49" s="15">
        <f>TRUNC(IF(OR([T]="CV",[T]="VV"),     L49*SETUP!$H$3,     0),2)</f>
        <v>0</v>
      </c>
      <c r="Z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1.13035</v>
      </c>
      <c r="AB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4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31.780000000000008</v>
      </c>
      <c r="AD49" s="15">
        <f>IF([LUCRO TMP] &lt;&gt; 0, [LUCRO TMP] - SUMPRODUCT(N([ATIVO]=NC[[#This Row],[ATIVO]]),N(['[D/N']]="N"),N([ID]&lt;NC[[#This Row],[ID]]),N([PAR]=NC[[#This Row],[PAR]]), [LUCRO TMP]), 0)</f>
        <v>31.780000000000008</v>
      </c>
      <c r="AE49" s="15">
        <f>IF([U] = "U", SUMPRODUCT(N([ID]&lt;=NC[[#This Row],[ID]]),N([DATA BASE]=NC[[#This Row],[DATA BASE]]), N(['[D/N']] = "N"),    [LUCRO P/ OP]), 0)</f>
        <v>0</v>
      </c>
      <c r="AF49" s="15">
        <f>IF([U] = "U",[LUCRO '[N']] + SUMPRODUCT(N(MONTH([DATA BASE])&lt;MONTH(NC[[#This Row],[DATA BASE]]) ), [LUCRO '[N']]),0)</f>
        <v>0</v>
      </c>
      <c r="AG49" s="15">
        <f>IF([U] = "U", SUMPRODUCT(N([DATA BASE]=NC[[#This Row],[DATA BASE]]), N(['[D/N']] = "D"),    [LUCRO P/ OP]), 0)</f>
        <v>0</v>
      </c>
      <c r="AH49" s="20">
        <f>IF([ TRIB. '[N']] &gt; 0,     ROUND([ TRIB. '[N']]*0.15,    2),    0)</f>
        <v>0</v>
      </c>
      <c r="AI49" s="20">
        <f>IF([LUCRO TRIB. DT] &gt; 0,     ROUND([LUCRO TRIB. DT]*0.2,    2)  -  SUMPRODUCT(N([DATA BASE]=NC[[#This Row],[DATA BASE]]),    [IRRF FONTE]),    0)</f>
        <v>0</v>
      </c>
      <c r="AJ49" s="19">
        <f>[IR '[N']] + [IR DEVIDO DT]</f>
        <v>0</v>
      </c>
      <c r="AK49" s="20">
        <f>IF(AND([U] = "U",[IR DEVIDO] &gt; 0), [IR DEVIDO] + 8.9, 0)</f>
        <v>0</v>
      </c>
      <c r="AL49" s="20">
        <f>[LUCRO '[N']]  + [LUCRO TRIB. DT] - [RESGATE]</f>
        <v>0</v>
      </c>
    </row>
    <row r="50" spans="1:38">
      <c r="A50" s="13">
        <v>49</v>
      </c>
      <c r="B50" s="13"/>
      <c r="C50" s="61" t="s">
        <v>126</v>
      </c>
      <c r="D50" s="13" t="s">
        <v>25</v>
      </c>
      <c r="E50" s="14">
        <v>41077</v>
      </c>
      <c r="F50" s="13">
        <v>1000</v>
      </c>
      <c r="G50" s="15">
        <v>0.41</v>
      </c>
      <c r="H50" s="13" t="s">
        <v>6</v>
      </c>
      <c r="I50" s="14">
        <f>WORKDAY(NC[[#This Row],[DATA]],1,0)</f>
        <v>41078</v>
      </c>
      <c r="J50" s="62">
        <f>EOMONTH(NC[[#This Row],[DATA DE LIQUIDAÇÃO]],0)</f>
        <v>41090</v>
      </c>
      <c r="K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0" s="15">
        <f>[QTDE]*[PREÇO]</f>
        <v>410</v>
      </c>
      <c r="M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410</v>
      </c>
      <c r="N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Q50" s="15">
        <f>SETUP!$E$3*SUMPRODUCT(N([DATA]=NC[[#This Row],[DATA]]),N([ID]&lt;=NC[[#This Row],[ID]]))</f>
        <v>14.9</v>
      </c>
      <c r="R50" s="15">
        <f>TRUNC([CORRETAGEM]*SETUP!$F$3,2)</f>
        <v>0.28999999999999998</v>
      </c>
      <c r="S50" s="15">
        <f>ROUND([CORRETAGEM]*SETUP!$G$3,2)</f>
        <v>0.57999999999999996</v>
      </c>
      <c r="T50" s="15">
        <f>[VALOR LÍQUIDO DAS OPERAÇÕES]-[TAXA DE LIQUIDAÇÃO]-[EMOLUMENTOS]-[TAXA DE REGISTRO]-[CORRETAGEM]-[ISS]-IF(['[D/N']]="D",    0,    [OUTRAS BOVESPA])</f>
        <v>393.69000000000005</v>
      </c>
      <c r="U50" s="15">
        <f>IF(AND(['[D/N']]="D",    [T]="CV"),    ROUND([LÍQUIDO BASE]*0.01, 2),    0)</f>
        <v>0</v>
      </c>
      <c r="V50" s="15">
        <f>IF([PREÇO] &gt; 0,    [LÍQUIDO BASE]-SUMPRODUCT(N([DATA]=NC[[#This Row],[DATA]]),    [IRRF FONTE]),    0)</f>
        <v>393.69000000000005</v>
      </c>
      <c r="W50" s="20">
        <f>[LÍQUIDO]-SUMPRODUCT(N([DATA]=NC[[#This Row],[DATA]]),N([ID]=(NC[[#This Row],[ID]]-1)),[LÍQUIDO])</f>
        <v>393.69000000000005</v>
      </c>
      <c r="X50" s="15">
        <f>IF([T] = "VC", ABS([VALOR OP]) / [QTDE], [VALOR OP]/[QTDE])</f>
        <v>0.39369000000000004</v>
      </c>
      <c r="Y50" s="15">
        <f>TRUNC(IF(OR([T]="CV",[T]="VV"),     L50*SETUP!$H$3,     0),2)</f>
        <v>0.02</v>
      </c>
      <c r="Z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0.39369000000000004</v>
      </c>
      <c r="AC5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-72.699999999999932</v>
      </c>
      <c r="AD50" s="15">
        <f>IF([LUCRO TMP] &lt;&gt; 0, [LUCRO TMP] - SUMPRODUCT(N([ATIVO]=NC[[#This Row],[ATIVO]]),N(['[D/N']]="N"),N([ID]&lt;NC[[#This Row],[ID]]),N([PAR]=NC[[#This Row],[PAR]]), [LUCRO TMP]), 0)</f>
        <v>-72.699999999999932</v>
      </c>
      <c r="AE50" s="15">
        <f>IF([U] = "U", SUMPRODUCT(N([ID]&lt;=NC[[#This Row],[ID]]),N([DATA BASE]=NC[[#This Row],[DATA BASE]]), N(['[D/N']] = "N"),    [LUCRO P/ OP]), 0)</f>
        <v>0</v>
      </c>
      <c r="AF50" s="15">
        <f>IF([U] = "U",[LUCRO '[N']] + SUMPRODUCT(N(MONTH([DATA BASE])&lt;MONTH(NC[[#This Row],[DATA BASE]]) ), [LUCRO '[N']]),0)</f>
        <v>0</v>
      </c>
      <c r="AG50" s="15">
        <f>IF([U] = "U", SUMPRODUCT(N([DATA BASE]=NC[[#This Row],[DATA BASE]]), N(['[D/N']] = "D"),    [LUCRO P/ OP]), 0)</f>
        <v>0</v>
      </c>
      <c r="AH50" s="20">
        <f>IF([ TRIB. '[N']] &gt; 0,     ROUND([ TRIB. '[N']]*0.15,    2),    0)</f>
        <v>0</v>
      </c>
      <c r="AI50" s="20">
        <f>IF([LUCRO TRIB. DT] &gt; 0,     ROUND([LUCRO TRIB. DT]*0.2,    2)  -  SUMPRODUCT(N([DATA BASE]=NC[[#This Row],[DATA BASE]]),    [IRRF FONTE]),    0)</f>
        <v>0</v>
      </c>
      <c r="AJ50" s="19">
        <f>[IR '[N']] + [IR DEVIDO DT]</f>
        <v>0</v>
      </c>
      <c r="AK50" s="20">
        <f>IF(AND([U] = "U",[IR DEVIDO] &gt; 0), [IR DEVIDO] + 8.9, 0)</f>
        <v>0</v>
      </c>
      <c r="AL50" s="20">
        <f>[LUCRO '[N']]  + [LUCRO TRIB. DT] - [RESGATE]</f>
        <v>0</v>
      </c>
    </row>
    <row r="51" spans="1:38">
      <c r="A51" s="13">
        <v>50</v>
      </c>
      <c r="B51" s="13" t="s">
        <v>53</v>
      </c>
      <c r="C51" s="61" t="s">
        <v>125</v>
      </c>
      <c r="D51" s="13" t="s">
        <v>73</v>
      </c>
      <c r="E51" s="14">
        <v>41077</v>
      </c>
      <c r="F51" s="13">
        <v>1000</v>
      </c>
      <c r="G51" s="15">
        <v>0.8</v>
      </c>
      <c r="H51" s="13" t="s">
        <v>6</v>
      </c>
      <c r="I51" s="14">
        <f>WORKDAY(NC[[#This Row],[DATA]],1,0)</f>
        <v>41078</v>
      </c>
      <c r="J51" s="62">
        <f>EOMONTH(NC[[#This Row],[DATA DE LIQUIDAÇÃO]],0)</f>
        <v>41090</v>
      </c>
      <c r="K5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1" s="15">
        <f>[QTDE]*[PREÇO]</f>
        <v>800</v>
      </c>
      <c r="M5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-390</v>
      </c>
      <c r="N5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0.33</v>
      </c>
      <c r="O5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P5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0.84</v>
      </c>
      <c r="Q51" s="15">
        <f>SETUP!$E$3*SUMPRODUCT(N([DATA]=NC[[#This Row],[DATA]]),N([ID]&lt;=NC[[#This Row],[ID]]))</f>
        <v>29.8</v>
      </c>
      <c r="R51" s="15">
        <f>TRUNC([CORRETAGEM]*SETUP!$F$3,2)</f>
        <v>0.59</v>
      </c>
      <c r="S51" s="15">
        <f>ROUND([CORRETAGEM]*SETUP!$G$3,2)</f>
        <v>1.1599999999999999</v>
      </c>
      <c r="T51" s="15">
        <f>[VALOR LÍQUIDO DAS OPERAÇÕES]-[TAXA DE LIQUIDAÇÃO]-[EMOLUMENTOS]-[TAXA DE REGISTRO]-[CORRETAGEM]-[ISS]-IF(['[D/N']]="D",    0,    [OUTRAS BOVESPA])</f>
        <v>-423.15999999999997</v>
      </c>
      <c r="U51" s="15">
        <f>IF(AND(['[D/N']]="D",    [T]="CV"),    ROUND([LÍQUIDO BASE]*0.01, 2),    0)</f>
        <v>0</v>
      </c>
      <c r="V51" s="15">
        <f>IF([PREÇO] &gt; 0,    [LÍQUIDO BASE]-SUMPRODUCT(N([DATA]=NC[[#This Row],[DATA]]),    [IRRF FONTE]),    0)</f>
        <v>-423.15999999999997</v>
      </c>
      <c r="W51" s="20">
        <f>[LÍQUIDO]-SUMPRODUCT(N([DATA]=NC[[#This Row],[DATA]]),N([ID]=(NC[[#This Row],[ID]]-1)),[LÍQUIDO])</f>
        <v>-816.85</v>
      </c>
      <c r="X51" s="15">
        <f>IF([T] = "VC", ABS([VALOR OP]) / [QTDE], [VALOR OP]/[QTDE])</f>
        <v>0.81685000000000008</v>
      </c>
      <c r="Y51" s="15">
        <f>TRUNC(IF(OR([T]="CV",[T]="VV"),     L51*SETUP!$H$3,     0),2)</f>
        <v>0</v>
      </c>
      <c r="Z5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0.81685000000000008</v>
      </c>
      <c r="AB5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5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106.1399999999999</v>
      </c>
      <c r="AD51" s="15">
        <f>IF([LUCRO TMP] &lt;&gt; 0, [LUCRO TMP] - SUMPRODUCT(N([ATIVO]=NC[[#This Row],[ATIVO]]),N(['[D/N']]="N"),N([ID]&lt;NC[[#This Row],[ID]]),N([PAR]=NC[[#This Row],[PAR]]), [LUCRO TMP]), 0)</f>
        <v>106.1399999999999</v>
      </c>
      <c r="AE51" s="15">
        <f>IF([U] = "U", SUMPRODUCT(N([ID]&lt;=NC[[#This Row],[ID]]),N([DATA BASE]=NC[[#This Row],[DATA BASE]]), N(['[D/N']] = "N"),    [LUCRO P/ OP]), 0)</f>
        <v>3.3899999999999579</v>
      </c>
      <c r="AF51" s="15">
        <f>IF([U] = "U",[LUCRO '[N']] + SUMPRODUCT(N(MONTH([DATA BASE])&lt;MONTH(NC[[#This Row],[DATA BASE]]) ), [LUCRO '[N']]),0)</f>
        <v>-21.039999999999651</v>
      </c>
      <c r="AG51" s="15">
        <f>IF([U] = "U", SUMPRODUCT(N([DATA BASE]=NC[[#This Row],[DATA BASE]]), N(['[D/N']] = "D"),    [LUCRO P/ OP]), 0)</f>
        <v>0</v>
      </c>
      <c r="AH51" s="20">
        <f>IF([ TRIB. '[N']] &gt; 0,     ROUND([ TRIB. '[N']]*0.15,    2),    0)</f>
        <v>0</v>
      </c>
      <c r="AI51" s="20">
        <f>IF([LUCRO TRIB. DT] &gt; 0,     ROUND([LUCRO TRIB. DT]*0.2,    2)  -  SUMPRODUCT(N([DATA BASE]=NC[[#This Row],[DATA BASE]]),    [IRRF FONTE]),    0)</f>
        <v>0</v>
      </c>
      <c r="AJ51" s="19">
        <f>[IR '[N']] + [IR DEVIDO DT]</f>
        <v>0</v>
      </c>
      <c r="AK51" s="20">
        <f>IF(AND([U] = "U",[IR DEVIDO] &gt; 0), [IR DEVIDO] + 8.9, 0)</f>
        <v>0</v>
      </c>
      <c r="AL51" s="20">
        <f>[LUCRO '[N']]  + [LUCRO TRIB. DT] - [RESGATE]</f>
        <v>3.3899999999999579</v>
      </c>
    </row>
    <row r="52" spans="1:38">
      <c r="A52" s="73">
        <f>SUBTOTAL(104,[ID])</f>
        <v>50</v>
      </c>
      <c r="B52" s="73"/>
      <c r="C52" s="73"/>
      <c r="D52" s="73"/>
      <c r="E52" s="73"/>
      <c r="F52" s="73"/>
      <c r="G52" s="73">
        <f>NC[[#Totals],[ID]]*14.9</f>
        <v>745</v>
      </c>
      <c r="H52" s="73">
        <f>NC[[#Totals],[LUCRO P/ OP]]+NC[[#Totals],[PREÇO]]</f>
        <v>43.779999999999973</v>
      </c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15"/>
      <c r="U52" s="73"/>
      <c r="V52" s="15"/>
      <c r="W52" s="15"/>
      <c r="X52" s="73"/>
      <c r="Y52" s="15">
        <f>SUBTOTAL(109,[IRRF])</f>
        <v>0.23</v>
      </c>
      <c r="Z52" s="15"/>
      <c r="AA52" s="73"/>
      <c r="AB52" s="73"/>
      <c r="AC52" s="15"/>
      <c r="AD52" s="15">
        <f>SUBTOTAL(109,[LUCRO P/ OP])</f>
        <v>-701.22</v>
      </c>
      <c r="AE52" s="15"/>
      <c r="AF52" s="15"/>
      <c r="AG52" s="74"/>
      <c r="AH52" s="15"/>
      <c r="AI52" s="15"/>
      <c r="AJ52" s="75"/>
      <c r="AK52" s="75"/>
      <c r="AL52" s="76">
        <f>SUBTOTAL(109,[LUCRO LÍQUIDO])</f>
        <v>357.6500000000002</v>
      </c>
    </row>
    <row r="53" spans="1:38">
      <c r="AD5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12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2" sqref="E12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>
      <c r="A2" s="7" t="s">
        <v>98</v>
      </c>
      <c r="B2" s="25">
        <v>873.38</v>
      </c>
      <c r="C2" s="25">
        <v>37.090000000000003</v>
      </c>
      <c r="D2" s="25">
        <v>1.31</v>
      </c>
      <c r="E2" s="40">
        <v>36.86</v>
      </c>
      <c r="F2" s="28">
        <f>ROUNDDOWN([APLICAÇÃO]/[PREÇO OPÇÃO], 0)</f>
        <v>666</v>
      </c>
      <c r="G2" s="28">
        <f>[QTDE TMP] - MOD([QTDE TMP], 100)</f>
        <v>600</v>
      </c>
      <c r="H2" s="25">
        <f>[EXERCÍCIO] + ([PREÇO OPÇÃO] * 2)</f>
        <v>39.71</v>
      </c>
      <c r="I2" s="27">
        <f>[TARGET 100%] / [PREÇO AÇÃO] - 1</f>
        <v>7.7319587628865927E-2</v>
      </c>
      <c r="J2" s="25">
        <f>[PREÇO OPÇÃO] * [QTDE] - 30</f>
        <v>756</v>
      </c>
    </row>
    <row r="3" spans="1:10">
      <c r="A3" s="7" t="s">
        <v>93</v>
      </c>
      <c r="B3" s="25">
        <v>873.38</v>
      </c>
      <c r="C3" s="25">
        <v>36.090000000000003</v>
      </c>
      <c r="D3" s="25">
        <v>1.47</v>
      </c>
      <c r="E3" s="40">
        <f t="shared" ref="E2:E7" si="0">35.7</f>
        <v>35.700000000000003</v>
      </c>
      <c r="F3" s="28">
        <f>ROUNDDOWN([APLICAÇÃO]/[PREÇO OPÇÃO], 0)</f>
        <v>594</v>
      </c>
      <c r="G3" s="28">
        <f>[QTDE TMP] - MOD([QTDE TMP], 100)</f>
        <v>500</v>
      </c>
      <c r="H3" s="25">
        <f>[EXERCÍCIO] + ([PREÇO OPÇÃO] * 2)</f>
        <v>39.03</v>
      </c>
      <c r="I3" s="27">
        <f>[TARGET 100%] / [PREÇO AÇÃO] - 1</f>
        <v>9.3277310924369639E-2</v>
      </c>
      <c r="J3" s="25">
        <f>[PREÇO OPÇÃO] * [QTDE] - 30</f>
        <v>705</v>
      </c>
    </row>
    <row r="4" spans="1:10">
      <c r="A4" s="7" t="s">
        <v>91</v>
      </c>
      <c r="B4" s="25">
        <v>873.38</v>
      </c>
      <c r="C4" s="25">
        <v>39.090000000000003</v>
      </c>
      <c r="D4" s="25">
        <v>0.32</v>
      </c>
      <c r="E4" s="40">
        <f t="shared" si="0"/>
        <v>35.700000000000003</v>
      </c>
      <c r="F4" s="28">
        <f>ROUNDDOWN([APLICAÇÃO]/[PREÇO OPÇÃO], 0)</f>
        <v>2729</v>
      </c>
      <c r="G4" s="28">
        <f>[QTDE TMP] - MOD([QTDE TMP], 100)</f>
        <v>2700</v>
      </c>
      <c r="H4" s="25">
        <f>[EXERCÍCIO] + ([PREÇO OPÇÃO] * 2)</f>
        <v>39.730000000000004</v>
      </c>
      <c r="I4" s="27">
        <f>[TARGET 100%] / [PREÇO AÇÃO] - 1</f>
        <v>0.11288515406162469</v>
      </c>
      <c r="J4" s="25">
        <f>[PREÇO OPÇÃO] * [QTDE] - 30</f>
        <v>834</v>
      </c>
    </row>
    <row r="5" spans="1:10">
      <c r="A5" s="7" t="s">
        <v>71</v>
      </c>
      <c r="B5" s="25">
        <v>873.38</v>
      </c>
      <c r="C5" s="25">
        <v>40.090000000000003</v>
      </c>
      <c r="D5" s="25">
        <v>0.14000000000000001</v>
      </c>
      <c r="E5" s="40">
        <f t="shared" si="0"/>
        <v>35.700000000000003</v>
      </c>
      <c r="F5" s="28">
        <f>ROUNDDOWN([APLICAÇÃO]/[PREÇO OPÇÃO], 0)</f>
        <v>6238</v>
      </c>
      <c r="G5" s="28">
        <f>[QTDE TMP] - MOD([QTDE TMP], 100)</f>
        <v>6200</v>
      </c>
      <c r="H5" s="25">
        <f>[EXERCÍCIO] + ([PREÇO OPÇÃO] * 2)</f>
        <v>40.370000000000005</v>
      </c>
      <c r="I5" s="27">
        <f>[TARGET 100%] / [PREÇO AÇÃO] - 1</f>
        <v>0.13081232492997197</v>
      </c>
      <c r="J5" s="25">
        <f>[PREÇO OPÇÃO] * [QTDE] - 30</f>
        <v>838.00000000000011</v>
      </c>
    </row>
    <row r="6" spans="1:10">
      <c r="A6" s="7" t="s">
        <v>92</v>
      </c>
      <c r="B6" s="25">
        <v>873.38</v>
      </c>
      <c r="C6" s="25">
        <v>39.229999999999997</v>
      </c>
      <c r="D6" s="25">
        <v>0.28000000000000003</v>
      </c>
      <c r="E6" s="40">
        <f t="shared" si="0"/>
        <v>35.700000000000003</v>
      </c>
      <c r="F6" s="28">
        <f>ROUNDDOWN([APLICAÇÃO]/[PREÇO OPÇÃO], 0)</f>
        <v>3119</v>
      </c>
      <c r="G6" s="28">
        <f>[QTDE TMP] - MOD([QTDE TMP], 100)</f>
        <v>3100</v>
      </c>
      <c r="H6" s="25">
        <f>[EXERCÍCIO] + ([PREÇO OPÇÃO] * 2)</f>
        <v>39.79</v>
      </c>
      <c r="I6" s="27">
        <f>[TARGET 100%] / [PREÇO AÇÃO] - 1</f>
        <v>0.11456582633053203</v>
      </c>
      <c r="J6" s="25">
        <f>[PREÇO OPÇÃO] * [QTDE] - 30</f>
        <v>838.00000000000011</v>
      </c>
    </row>
    <row r="7" spans="1:10">
      <c r="A7" s="7" t="s">
        <v>70</v>
      </c>
      <c r="B7" s="25">
        <v>873.38</v>
      </c>
      <c r="C7" s="25">
        <v>42.09</v>
      </c>
      <c r="D7" s="25">
        <v>0.02</v>
      </c>
      <c r="E7" s="25">
        <f t="shared" si="0"/>
        <v>35.700000000000003</v>
      </c>
      <c r="F7" s="28">
        <f>ROUNDDOWN([APLICAÇÃO]/[PREÇO OPÇÃO], 0)</f>
        <v>43669</v>
      </c>
      <c r="G7" s="28">
        <f>[QTDE TMP] - MOD([QTDE TMP], 100)</f>
        <v>43600</v>
      </c>
      <c r="H7" s="25">
        <f>[EXERCÍCIO] + ([PREÇO OPÇÃO] * 2)</f>
        <v>42.13</v>
      </c>
      <c r="I7" s="27">
        <f>[TARGET 100%] / [PREÇO AÇÃO] - 1</f>
        <v>0.1801120448179272</v>
      </c>
      <c r="J7" s="25">
        <f>[PREÇO OPÇÃO] * [QTDE] - 30</f>
        <v>842</v>
      </c>
    </row>
    <row r="8" spans="1:10">
      <c r="A8" s="41" t="s">
        <v>109</v>
      </c>
      <c r="B8" s="25">
        <v>873.38</v>
      </c>
      <c r="C8" s="42">
        <v>18.829999999999998</v>
      </c>
      <c r="D8" s="42">
        <v>1.05</v>
      </c>
      <c r="E8" s="43">
        <v>19.07</v>
      </c>
      <c r="F8" s="44">
        <f>ROUNDDOWN([APLICAÇÃO]/[PREÇO OPÇÃO], 0)</f>
        <v>831</v>
      </c>
      <c r="G8" s="44">
        <f>[QTDE TMP] - MOD([QTDE TMP], 100)</f>
        <v>800</v>
      </c>
      <c r="H8" s="42">
        <f>[EXERCÍCIO] + ([PREÇO OPÇÃO] * 2)</f>
        <v>20.93</v>
      </c>
      <c r="I8" s="45">
        <f>[TARGET 100%] / [PREÇO AÇÃO] - 1</f>
        <v>9.7535395909805978E-2</v>
      </c>
      <c r="J8" s="42">
        <f>[PREÇO OPÇÃO] * [QTDE] - 30</f>
        <v>810</v>
      </c>
    </row>
    <row r="9" spans="1:10">
      <c r="A9" s="41" t="s">
        <v>123</v>
      </c>
      <c r="B9" s="25">
        <v>873.38</v>
      </c>
      <c r="C9" s="42">
        <v>19.829999999999998</v>
      </c>
      <c r="D9" s="42">
        <v>0.94</v>
      </c>
      <c r="E9" s="43">
        <v>20.07</v>
      </c>
      <c r="F9" s="44">
        <f>ROUNDDOWN([APLICAÇÃO]/[PREÇO OPÇÃO], 0)</f>
        <v>929</v>
      </c>
      <c r="G9" s="44">
        <f>[QTDE TMP] - MOD([QTDE TMP], 100)</f>
        <v>900</v>
      </c>
      <c r="H9" s="42">
        <f>[EXERCÍCIO] + ([PREÇO OPÇÃO] * 2)</f>
        <v>21.709999999999997</v>
      </c>
      <c r="I9" s="45">
        <f>[TARGET 100%] / [PREÇO AÇÃO] - 1</f>
        <v>8.1714000996512048E-2</v>
      </c>
      <c r="J9" s="42">
        <f>[PREÇO OPÇÃO] * [QTDE] - 30</f>
        <v>816</v>
      </c>
    </row>
    <row r="10" spans="1:10">
      <c r="A10" s="41" t="s">
        <v>123</v>
      </c>
      <c r="B10" s="25">
        <v>873.38</v>
      </c>
      <c r="C10" s="42">
        <v>20.71</v>
      </c>
      <c r="D10" s="42">
        <v>0.5</v>
      </c>
      <c r="E10" s="43">
        <v>20.399999999999999</v>
      </c>
      <c r="F10" s="44">
        <f>ROUNDDOWN([APLICAÇÃO]/[PREÇO OPÇÃO], 0)</f>
        <v>1746</v>
      </c>
      <c r="G10" s="44">
        <f>[QTDE TMP] - MOD([QTDE TMP], 100)</f>
        <v>1700</v>
      </c>
      <c r="H10" s="42">
        <f>[EXERCÍCIO] + ([PREÇO OPÇÃO] * 2)</f>
        <v>21.71</v>
      </c>
      <c r="I10" s="45">
        <f>[TARGET 100%] / [PREÇO AÇÃO] - 1</f>
        <v>6.421568627451002E-2</v>
      </c>
      <c r="J10" s="42">
        <f>[PREÇO OPÇÃO] * [QTDE] - 30</f>
        <v>820</v>
      </c>
    </row>
    <row r="11" spans="1:10">
      <c r="A11" s="41" t="s">
        <v>124</v>
      </c>
      <c r="B11" s="25">
        <v>873.38</v>
      </c>
      <c r="C11" s="42">
        <v>13</v>
      </c>
      <c r="D11" s="42">
        <v>0.43</v>
      </c>
      <c r="E11" s="43">
        <v>12.43</v>
      </c>
      <c r="F11" s="44">
        <f>ROUNDDOWN([APLICAÇÃO]/[PREÇO OPÇÃO], 0)</f>
        <v>2031</v>
      </c>
      <c r="G11" s="44">
        <f>[QTDE TMP] - MOD([QTDE TMP], 100)</f>
        <v>2000</v>
      </c>
      <c r="H11" s="42">
        <f>[EXERCÍCIO] + ([PREÇO OPÇÃO] * 2)</f>
        <v>13.86</v>
      </c>
      <c r="I11" s="45">
        <f>[TARGET 100%] / [PREÇO AÇÃO] - 1</f>
        <v>0.11504424778761058</v>
      </c>
      <c r="J11" s="42">
        <f>[PREÇO OPÇÃO] * [QTDE] - 30</f>
        <v>830</v>
      </c>
    </row>
    <row r="12" spans="1:10">
      <c r="A12" s="41" t="s">
        <v>15</v>
      </c>
      <c r="B12" s="46"/>
      <c r="C12" s="46"/>
      <c r="D12" s="46"/>
      <c r="E12" s="46"/>
      <c r="F12" s="46"/>
      <c r="G12" s="46"/>
      <c r="H12" s="46"/>
      <c r="I12" s="46"/>
      <c r="J12" s="4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sqref="A1:XFD1048576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6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61</v>
      </c>
      <c r="B1" s="24" t="s">
        <v>116</v>
      </c>
      <c r="C1" s="24" t="s">
        <v>64</v>
      </c>
      <c r="D1" s="26" t="s">
        <v>119</v>
      </c>
      <c r="E1" s="26" t="s">
        <v>118</v>
      </c>
      <c r="F1" s="26" t="s">
        <v>117</v>
      </c>
      <c r="G1" s="63" t="s">
        <v>1</v>
      </c>
      <c r="H1" s="26" t="s">
        <v>81</v>
      </c>
      <c r="I1" s="26" t="s">
        <v>121</v>
      </c>
      <c r="J1" s="26" t="s">
        <v>122</v>
      </c>
      <c r="K1" s="26" t="s">
        <v>120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64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9">
        <f>[LUCRO*]/ABS([PERDA*])</f>
        <v>1.6666666666666667</v>
      </c>
    </row>
    <row r="3" spans="1:15">
      <c r="A3" s="55" t="s">
        <v>75</v>
      </c>
      <c r="B3" s="56">
        <v>300</v>
      </c>
      <c r="C3" s="56">
        <v>20.25</v>
      </c>
      <c r="D3" s="56">
        <v>19.829999999999998</v>
      </c>
      <c r="E3" s="56">
        <v>20.71</v>
      </c>
      <c r="F3" s="56">
        <v>0.4</v>
      </c>
      <c r="G3" s="71">
        <v>1500</v>
      </c>
      <c r="H3" s="57">
        <f>-[RISCO]/[QTDE]</f>
        <v>-0.2</v>
      </c>
      <c r="I3" s="57">
        <f>[PR COMPRA] * [QTDE]</f>
        <v>600</v>
      </c>
      <c r="J3" s="72">
        <f>[PR VENDA]-[PR COMPRA]</f>
        <v>0.68000000000000271</v>
      </c>
      <c r="K3" s="57">
        <f>[PERDA P/ OPÇÃO] + ([EX. COMPRA] - [EX. VENDA] + 0.01) - 0.01 + [PR COMPRA]</f>
        <v>1.0800000000000027</v>
      </c>
      <c r="L3" s="57">
        <f>([QTDE]*[LUCRO UNI])</f>
        <v>1020.0000000000041</v>
      </c>
      <c r="M3" s="57">
        <f>[PERDA P/ OPÇÃO]*[QTDE]</f>
        <v>-300</v>
      </c>
      <c r="N3" s="59">
        <f>[EX. VENDA]/[PREÇO AÇÃO]-1</f>
        <v>-2.0740740740740837E-2</v>
      </c>
      <c r="O3" s="60">
        <f>[LUCRO*]/ABS([PERDA*])</f>
        <v>3.4000000000000137</v>
      </c>
    </row>
    <row r="4" spans="1:15">
      <c r="A4" s="55" t="s">
        <v>75</v>
      </c>
      <c r="B4" s="56">
        <v>300</v>
      </c>
      <c r="C4" s="56">
        <v>20.25</v>
      </c>
      <c r="D4" s="56">
        <v>18.829999999999998</v>
      </c>
      <c r="E4" s="56">
        <v>20.71</v>
      </c>
      <c r="F4" s="56">
        <v>0.45</v>
      </c>
      <c r="G4" s="71">
        <v>500</v>
      </c>
      <c r="H4" s="57">
        <f>-[RISCO]/[QTDE]</f>
        <v>-0.6</v>
      </c>
      <c r="I4" s="57">
        <f>[PR COMPRA] * [QTDE]</f>
        <v>225</v>
      </c>
      <c r="J4" s="72">
        <f>[PR VENDA]-[PR COMPRA]</f>
        <v>1.2800000000000027</v>
      </c>
      <c r="K4" s="57">
        <f>[PERDA P/ OPÇÃO] + ([EX. COMPRA] - [EX. VENDA] + 0.01) - 0.01 + [PR COMPRA]</f>
        <v>1.7300000000000026</v>
      </c>
      <c r="L4" s="57">
        <f>([QTDE]*[LUCRO UNI])</f>
        <v>640.00000000000136</v>
      </c>
      <c r="M4" s="57">
        <f>[PERDA P/ OPÇÃO]*[QTDE]</f>
        <v>-300</v>
      </c>
      <c r="N4" s="59">
        <f>[EX. VENDA]/[PREÇO AÇÃO]-1</f>
        <v>-7.0123456790123551E-2</v>
      </c>
      <c r="O4" s="60">
        <f>[LUCRO*]/ABS([PERDA*])</f>
        <v>2.1333333333333377</v>
      </c>
    </row>
    <row r="5" spans="1:15">
      <c r="A5" s="41" t="s">
        <v>15</v>
      </c>
      <c r="B5" s="46"/>
      <c r="C5" s="46"/>
      <c r="D5" s="46"/>
      <c r="E5" s="46"/>
      <c r="F5" s="46"/>
      <c r="G5" s="65"/>
      <c r="H5" s="46"/>
      <c r="I5" s="67"/>
      <c r="J5" s="46"/>
      <c r="K5" s="46"/>
      <c r="L5" s="46"/>
      <c r="M5" s="46"/>
      <c r="N5" s="41"/>
      <c r="O5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8" width="9.85546875" style="7" bestFit="1" customWidth="1"/>
    <col min="19" max="19" width="9.14062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61</v>
      </c>
      <c r="B1" s="24" t="s">
        <v>99</v>
      </c>
      <c r="C1" s="24" t="s">
        <v>100</v>
      </c>
      <c r="D1" s="26" t="s">
        <v>101</v>
      </c>
      <c r="E1" s="26" t="s">
        <v>102</v>
      </c>
      <c r="F1" s="26" t="s">
        <v>103</v>
      </c>
      <c r="G1" s="26" t="s">
        <v>104</v>
      </c>
      <c r="H1" s="26" t="s">
        <v>105</v>
      </c>
      <c r="I1" s="26" t="s">
        <v>106</v>
      </c>
      <c r="J1" s="26" t="s">
        <v>95</v>
      </c>
      <c r="K1" s="26" t="s">
        <v>96</v>
      </c>
      <c r="L1" s="26" t="s">
        <v>97</v>
      </c>
      <c r="M1" s="26" t="s">
        <v>111</v>
      </c>
      <c r="N1" s="26" t="s">
        <v>69</v>
      </c>
      <c r="O1" s="26" t="s">
        <v>1</v>
      </c>
      <c r="P1" s="26" t="s">
        <v>110</v>
      </c>
      <c r="Q1" s="26" t="s">
        <v>108</v>
      </c>
      <c r="R1" s="26" t="s">
        <v>107</v>
      </c>
      <c r="S1" s="26" t="s">
        <v>87</v>
      </c>
      <c r="T1" s="26" t="s">
        <v>88</v>
      </c>
      <c r="U1" s="26" t="s">
        <v>94</v>
      </c>
      <c r="V1" s="26" t="s">
        <v>84</v>
      </c>
    </row>
    <row r="2" spans="1:2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-([QTDE]*[PR CP 1] + [QTDE]*[PR CP 2])</f>
        <v>-1519</v>
      </c>
      <c r="R2" s="25">
        <f>[QTDE]*[PR VD] * 2</f>
        <v>1428</v>
      </c>
      <c r="S2" s="40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9">
        <f>[LUCRO*]/ABS([PERDA*])</f>
        <v>2.8674033149171287</v>
      </c>
    </row>
    <row r="3" spans="1:22">
      <c r="A3" s="7" t="s">
        <v>15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46"/>
      <c r="Q3" s="29"/>
      <c r="R3" s="29"/>
      <c r="S3" s="29"/>
      <c r="T3" s="29"/>
    </row>
    <row r="4" spans="1:22">
      <c r="E4" s="23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M9" sqref="M9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9" width="15.5703125" style="7" bestFit="1" customWidth="1"/>
    <col min="10" max="10" width="9.28515625" style="7" hidden="1" customWidth="1"/>
    <col min="11" max="11" width="7.7109375" style="7" bestFit="1" customWidth="1"/>
    <col min="12" max="13" width="9.85546875" style="7" bestFit="1" customWidth="1"/>
    <col min="14" max="14" width="10.42578125" style="7" bestFit="1" customWidth="1"/>
    <col min="15" max="15" width="9.85546875" style="7" bestFit="1" customWidth="1"/>
    <col min="16" max="16384" width="11.5703125" style="7"/>
  </cols>
  <sheetData>
    <row r="1" spans="1:15">
      <c r="A1" s="24" t="s">
        <v>61</v>
      </c>
      <c r="B1" s="24" t="s">
        <v>116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80</v>
      </c>
      <c r="I1" s="26" t="s">
        <v>81</v>
      </c>
      <c r="J1" s="26" t="s">
        <v>69</v>
      </c>
      <c r="K1" s="26" t="s">
        <v>1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[PREÇO VENDA]-[PREÇO COMPRA]</f>
        <v>1.18</v>
      </c>
      <c r="I2" s="25">
        <f>(0.01 - [PREÇO COMPRA]) + ([PREÇO VENDA] - ([EXERC. COMPRA]-[EXERC. VENDA]+0.01))</f>
        <v>-0.81999999999999984</v>
      </c>
      <c r="J2" s="28">
        <f>ROUNDDOWN([RISCO]/ABS([PERDA P/ OPÇÃO]), 0)</f>
        <v>121</v>
      </c>
      <c r="K2" s="28">
        <f>[QTDE TMP] - MOD([QTDE TMP], 100)</f>
        <v>100</v>
      </c>
      <c r="L2" s="25">
        <f>([QTDE]*[LUCRO P/ OPÇÃO])</f>
        <v>118</v>
      </c>
      <c r="M2" s="25">
        <f>[QTDE]*[PERDA P/ OPÇÃO]</f>
        <v>-81.999999999999986</v>
      </c>
      <c r="N2" s="27">
        <f>[EXERC. VENDA]/[PREÇO AÇÃO]-1</f>
        <v>2.3226135783563029E-2</v>
      </c>
      <c r="O2" s="39">
        <f>[LUCRO*]/ABS([PERDA*])</f>
        <v>1.4390243902439026</v>
      </c>
    </row>
    <row r="3" spans="1:15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[PREÇO VENDA]-[PREÇO COMPRA]</f>
        <v>1.22</v>
      </c>
      <c r="I3" s="25">
        <f>(0.01 - [PREÇO COMPRA]) + ([PREÇO VENDA] - ([EXERC. COMPRA]-[EXERC. VENDA]+0.01))</f>
        <v>-0.7799999999999998</v>
      </c>
      <c r="J3" s="28">
        <f>ROUNDDOWN([RISCO]/ABS([PERDA P/ OPÇÃO]), 0)</f>
        <v>128</v>
      </c>
      <c r="K3" s="28">
        <f>[QTDE TMP] - MOD([QTDE TMP], 100)</f>
        <v>100</v>
      </c>
      <c r="L3" s="25">
        <f>([QTDE]*[LUCRO P/ OPÇÃO])</f>
        <v>122</v>
      </c>
      <c r="M3" s="25">
        <f>[QTDE]*[PERDA P/ OPÇÃO]</f>
        <v>-77.999999999999986</v>
      </c>
      <c r="N3" s="27">
        <f>[EXERC. VENDA]/[PREÇO AÇÃO]-1</f>
        <v>-5.9292476332835187E-2</v>
      </c>
      <c r="O3" s="39">
        <f>[LUCRO*]/ABS([PERDA*])</f>
        <v>1.5641025641025643</v>
      </c>
    </row>
    <row r="4" spans="1:15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40">
        <f>[PREÇO VENDA]-[PREÇO COMPRA]</f>
        <v>0.52</v>
      </c>
      <c r="I4" s="40">
        <f>(0.01 - [PREÇO COMPRA]) + ([PREÇO VENDA] - ([EXERC. COMPRA]-[EXERC. VENDA]+0.01))</f>
        <v>-0.48</v>
      </c>
      <c r="J4" s="28">
        <f>ROUNDDOWN([RISCO]/ABS([PERDA P/ OPÇÃO]), 0)</f>
        <v>937</v>
      </c>
      <c r="K4" s="28">
        <f>[QTDE TMP] - MOD([QTDE TMP], 100)</f>
        <v>900</v>
      </c>
      <c r="L4" s="40">
        <f>([QTDE]*[LUCRO P/ OPÇÃO])</f>
        <v>468</v>
      </c>
      <c r="M4" s="25">
        <f>[QTDE]*[PERDA P/ OPÇÃO]</f>
        <v>-432</v>
      </c>
      <c r="N4" s="27">
        <f>[EXERC. VENDA]/[PREÇO AÇÃO]-1</f>
        <v>-2.3947368421052495E-2</v>
      </c>
      <c r="O4" s="39">
        <f>[LUCRO*]/ABS([PERDA*])</f>
        <v>1.0833333333333333</v>
      </c>
    </row>
    <row r="5" spans="1:15">
      <c r="A5" s="55" t="s">
        <v>112</v>
      </c>
      <c r="B5" s="56">
        <v>90</v>
      </c>
      <c r="C5" s="56">
        <v>11.83</v>
      </c>
      <c r="D5" s="56">
        <v>11</v>
      </c>
      <c r="E5" s="56">
        <v>1.37</v>
      </c>
      <c r="F5" s="56">
        <v>12</v>
      </c>
      <c r="G5" s="56">
        <v>0.69</v>
      </c>
      <c r="H5" s="57">
        <f>[PREÇO VENDA]-[PREÇO COMPRA]</f>
        <v>0.68000000000000016</v>
      </c>
      <c r="I5" s="57">
        <f>(0.01 - [PREÇO COMPRA]) + ([PREÇO VENDA] - ([EXERC. COMPRA]-[EXERC. VENDA]+0.01))</f>
        <v>-0.31999999999999984</v>
      </c>
      <c r="J5" s="58">
        <f>ROUNDDOWN([RISCO]/ABS([PERDA P/ OPÇÃO]), 0)</f>
        <v>281</v>
      </c>
      <c r="K5" s="58">
        <f>[QTDE TMP] - MOD([QTDE TMP], 100)</f>
        <v>200</v>
      </c>
      <c r="L5" s="57">
        <f>([QTDE]*[LUCRO P/ OPÇÃO])</f>
        <v>136.00000000000003</v>
      </c>
      <c r="M5" s="56">
        <f>[QTDE]*[PERDA P/ OPÇÃO]</f>
        <v>-63.999999999999972</v>
      </c>
      <c r="N5" s="59">
        <f>[EXERC. VENDA]/[PREÇO AÇÃO]-1</f>
        <v>-7.0160608622147125E-2</v>
      </c>
      <c r="O5" s="60">
        <f>[LUCRO*]/ABS([PERDA*])</f>
        <v>2.1250000000000013</v>
      </c>
    </row>
    <row r="6" spans="1:15">
      <c r="A6" s="7" t="s">
        <v>75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57">
        <f>[PREÇO VENDA]-[PREÇO COMPRA]</f>
        <v>1.24</v>
      </c>
      <c r="I6" s="57">
        <f>(0.01 - [PREÇO COMPRA]) + ([PREÇO VENDA] - ([EXERC. COMPRA]-[EXERC. VENDA]+0.01))</f>
        <v>-0.64000000000000257</v>
      </c>
      <c r="J6" s="58">
        <f>ROUNDDOWN([RISCO]/ABS([PERDA P/ OPÇÃO]), 0)</f>
        <v>468</v>
      </c>
      <c r="K6" s="58">
        <f>[QTDE TMP] - MOD([QTDE TMP], 100)</f>
        <v>400</v>
      </c>
      <c r="L6" s="57">
        <f>([QTDE]*[LUCRO P/ OPÇÃO])</f>
        <v>496</v>
      </c>
      <c r="M6" s="57">
        <f>[QTDE]*[PERDA P/ OPÇÃO]</f>
        <v>-256.00000000000102</v>
      </c>
      <c r="N6" s="59">
        <f>[EXERC. VENDA]/[PREÇO AÇÃO]-1</f>
        <v>-7.0123456790123551E-2</v>
      </c>
      <c r="O6" s="60">
        <f>[LUCRO*]/ABS([PERDA*])</f>
        <v>1.9374999999999922</v>
      </c>
    </row>
    <row r="7" spans="1:15">
      <c r="A7" s="7" t="s">
        <v>75</v>
      </c>
      <c r="B7" s="25">
        <v>400</v>
      </c>
      <c r="C7" s="25">
        <v>20.25</v>
      </c>
      <c r="D7" s="25">
        <v>19.829999999999998</v>
      </c>
      <c r="E7" s="25">
        <v>0.94</v>
      </c>
      <c r="F7" s="25">
        <v>20.71</v>
      </c>
      <c r="G7" s="25">
        <v>0.45</v>
      </c>
      <c r="H7" s="57">
        <f>[PREÇO VENDA]-[PREÇO COMPRA]</f>
        <v>0.48999999999999994</v>
      </c>
      <c r="I7" s="57">
        <f>(0.01 - [PREÇO COMPRA]) + ([PREÇO VENDA] - ([EXERC. COMPRA]-[EXERC. VENDA]+0.01))</f>
        <v>-0.39000000000000262</v>
      </c>
      <c r="J7" s="58">
        <f>ROUNDDOWN([RISCO]/ABS([PERDA P/ OPÇÃO]), 0)</f>
        <v>1025</v>
      </c>
      <c r="K7" s="58">
        <f>[QTDE TMP] - MOD([QTDE TMP], 100)</f>
        <v>1000</v>
      </c>
      <c r="L7" s="57">
        <f>([QTDE]*[LUCRO P/ OPÇÃO])</f>
        <v>489.99999999999994</v>
      </c>
      <c r="M7" s="57">
        <f>[QTDE]*[PERDA P/ OPÇÃO]</f>
        <v>-390.00000000000261</v>
      </c>
      <c r="N7" s="59">
        <f>[EXERC. VENDA]/[PREÇO AÇÃO]-1</f>
        <v>-2.0740740740740837E-2</v>
      </c>
      <c r="O7" s="60">
        <f>[LUCRO*]/ABS([PERDA*])</f>
        <v>1.2564102564102479</v>
      </c>
    </row>
    <row r="8" spans="1:15">
      <c r="A8" s="41" t="s">
        <v>15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1"/>
      <c r="O8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70" t="s">
        <v>7</v>
      </c>
      <c r="B1" s="70"/>
      <c r="C1" s="70" t="s">
        <v>8</v>
      </c>
      <c r="D1" s="70"/>
      <c r="E1" s="69" t="s">
        <v>9</v>
      </c>
      <c r="F1" s="69" t="s">
        <v>4</v>
      </c>
      <c r="G1" s="69" t="s">
        <v>10</v>
      </c>
      <c r="H1" s="69" t="s">
        <v>11</v>
      </c>
      <c r="I1" s="69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69"/>
      <c r="F2" s="69"/>
      <c r="G2" s="69"/>
      <c r="H2" s="69"/>
      <c r="I2" s="69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68" t="s">
        <v>26</v>
      </c>
      <c r="B4" s="68"/>
      <c r="C4" s="68"/>
      <c r="D4" s="68"/>
      <c r="E4" s="68"/>
      <c r="F4" s="68"/>
    </row>
    <row r="5" spans="1:9">
      <c r="A5" s="68" t="s">
        <v>7</v>
      </c>
      <c r="B5" s="68"/>
      <c r="C5" s="68"/>
      <c r="D5" s="68" t="s">
        <v>8</v>
      </c>
      <c r="E5" s="68"/>
      <c r="F5" s="68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L3" sqref="L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6" bestFit="1" customWidth="1"/>
    <col min="8" max="8" width="6.7109375" style="7" bestFit="1" customWidth="1"/>
    <col min="9" max="9" width="15.42578125" style="7" bestFit="1" customWidth="1"/>
    <col min="10" max="10" width="11.14062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61</v>
      </c>
      <c r="B1" s="24" t="s">
        <v>116</v>
      </c>
      <c r="C1" s="24" t="s">
        <v>64</v>
      </c>
      <c r="D1" s="26" t="s">
        <v>119</v>
      </c>
      <c r="E1" s="26" t="s">
        <v>118</v>
      </c>
      <c r="F1" s="26" t="s">
        <v>120</v>
      </c>
      <c r="G1" s="26" t="s">
        <v>117</v>
      </c>
      <c r="H1" s="63" t="s">
        <v>1</v>
      </c>
      <c r="I1" s="26" t="s">
        <v>81</v>
      </c>
      <c r="J1" s="26" t="s">
        <v>121</v>
      </c>
      <c r="K1" s="26" t="s">
        <v>122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64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9">
        <f>[LUCRO*]/ABS([PERDA*])</f>
        <v>1</v>
      </c>
    </row>
    <row r="3" spans="1:15">
      <c r="A3" s="55" t="s">
        <v>75</v>
      </c>
      <c r="B3" s="56">
        <v>300</v>
      </c>
      <c r="C3" s="56">
        <v>20.25</v>
      </c>
      <c r="D3" s="56">
        <v>19.829999999999998</v>
      </c>
      <c r="E3" s="56">
        <v>20.71</v>
      </c>
      <c r="F3" s="56">
        <v>0.95</v>
      </c>
      <c r="G3" s="56">
        <v>0.4</v>
      </c>
      <c r="H3" s="71">
        <v>1000</v>
      </c>
      <c r="I3" s="57">
        <f>([PR VENDA] - ([EX. COMPRA] - [EX. VENDA] + 0.01)) + (0.01 - ([PR COMPRA]))</f>
        <v>-0.33000000000000262</v>
      </c>
      <c r="J3" s="57">
        <f>[PR COMPRA] * [QTDE]</f>
        <v>400</v>
      </c>
      <c r="K3" s="72">
        <f>[PR VENDA]-[PR COMPRA]</f>
        <v>0.54999999999999993</v>
      </c>
      <c r="L3" s="57">
        <f>([QTDE]*[LUCRO UNI])</f>
        <v>549.99999999999989</v>
      </c>
      <c r="M3" s="57">
        <f>[PERDA P/ OPÇÃO]*[QTDE]</f>
        <v>-330.00000000000261</v>
      </c>
      <c r="N3" s="59">
        <f>[EX. VENDA]/[PREÇO AÇÃO]-1</f>
        <v>-2.0740740740740837E-2</v>
      </c>
      <c r="O3" s="60">
        <f>[LUCRO*]/ABS([PERDA*])</f>
        <v>1.6666666666666532</v>
      </c>
    </row>
    <row r="4" spans="1:15">
      <c r="A4" s="55" t="s">
        <v>75</v>
      </c>
      <c r="B4" s="56">
        <v>300</v>
      </c>
      <c r="C4" s="56">
        <v>20.25</v>
      </c>
      <c r="D4" s="56">
        <v>18.829999999999998</v>
      </c>
      <c r="E4" s="56">
        <v>20.71</v>
      </c>
      <c r="F4" s="56">
        <v>1.66</v>
      </c>
      <c r="G4" s="56">
        <v>0.4</v>
      </c>
      <c r="H4" s="71">
        <v>500</v>
      </c>
      <c r="I4" s="57">
        <f>([PR VENDA] - ([EX. COMPRA] - [EX. VENDA] + 0.01)) + (0.01 - ([PR COMPRA]))</f>
        <v>-0.62000000000000266</v>
      </c>
      <c r="J4" s="57">
        <f>[PR COMPRA] * [QTDE]</f>
        <v>200</v>
      </c>
      <c r="K4" s="72">
        <f>[PR VENDA]-[PR COMPRA]</f>
        <v>1.2599999999999998</v>
      </c>
      <c r="L4" s="57">
        <f>([QTDE]*[LUCRO UNI])</f>
        <v>629.99999999999989</v>
      </c>
      <c r="M4" s="57">
        <f>[PERDA P/ OPÇÃO]*[QTDE]</f>
        <v>-310.00000000000131</v>
      </c>
      <c r="N4" s="59">
        <f>[EX. VENDA]/[PREÇO AÇÃO]-1</f>
        <v>-7.0123456790123551E-2</v>
      </c>
      <c r="O4" s="60">
        <f>[LUCRO*]/ABS([PERDA*])</f>
        <v>2.0322580645161201</v>
      </c>
    </row>
    <row r="5" spans="1:15">
      <c r="A5" s="41" t="s">
        <v>15</v>
      </c>
      <c r="B5" s="46"/>
      <c r="C5" s="46"/>
      <c r="D5" s="46"/>
      <c r="E5" s="46"/>
      <c r="F5" s="46"/>
      <c r="G5" s="46"/>
      <c r="H5" s="65"/>
      <c r="I5" s="46"/>
      <c r="J5" s="67"/>
      <c r="K5" s="46"/>
      <c r="L5" s="46"/>
      <c r="M5" s="46"/>
      <c r="N5" s="41"/>
      <c r="O5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</vt:lpstr>
      <vt:lpstr>VOLAT-TENDENCIA</vt:lpstr>
      <vt:lpstr>TRAVA BAIXA NEW</vt:lpstr>
      <vt:lpstr>BORBOLETA</vt:lpstr>
      <vt:lpstr>TRAVA BAIXA</vt:lpstr>
      <vt:lpstr>SETUP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2012-05-22T17:11:20Z</dcterms:modified>
</cp:coreProperties>
</file>