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V16" i="1"/>
  <c r="H13"/>
  <c r="I13"/>
  <c r="K13"/>
  <c r="P13"/>
  <c r="Q13"/>
  <c r="R13"/>
  <c r="T13"/>
  <c r="X13"/>
  <c r="Y13"/>
  <c r="H14"/>
  <c r="I14"/>
  <c r="K14"/>
  <c r="P14"/>
  <c r="Q14"/>
  <c r="R14"/>
  <c r="T14"/>
  <c r="X14"/>
  <c r="Y14"/>
  <c r="H15"/>
  <c r="I15"/>
  <c r="K15"/>
  <c r="P15"/>
  <c r="Q15"/>
  <c r="R15"/>
  <c r="T15"/>
  <c r="X15"/>
  <c r="Y15"/>
  <c r="U16"/>
  <c r="H11"/>
  <c r="I11"/>
  <c r="K11"/>
  <c r="P11"/>
  <c r="Q11"/>
  <c r="R11"/>
  <c r="T11"/>
  <c r="X11"/>
  <c r="Y11"/>
  <c r="AA11"/>
  <c r="H12"/>
  <c r="I12"/>
  <c r="K12"/>
  <c r="P12"/>
  <c r="Q12"/>
  <c r="R12"/>
  <c r="T12"/>
  <c r="X12"/>
  <c r="Y12"/>
  <c r="AA12"/>
  <c r="H9"/>
  <c r="I9"/>
  <c r="K9"/>
  <c r="P9"/>
  <c r="Q9"/>
  <c r="R9"/>
  <c r="T9"/>
  <c r="X9"/>
  <c r="Y9"/>
  <c r="AA9"/>
  <c r="H10"/>
  <c r="I10"/>
  <c r="K10"/>
  <c r="P10"/>
  <c r="Q10"/>
  <c r="R10"/>
  <c r="X10"/>
  <c r="Y10"/>
  <c r="H7"/>
  <c r="I7"/>
  <c r="K7"/>
  <c r="P7"/>
  <c r="Q7"/>
  <c r="R7"/>
  <c r="T7"/>
  <c r="X7"/>
  <c r="Y7"/>
  <c r="AA7"/>
  <c r="H8"/>
  <c r="I8"/>
  <c r="K8"/>
  <c r="P8"/>
  <c r="Q8"/>
  <c r="R8"/>
  <c r="T8"/>
  <c r="X8"/>
  <c r="Y8"/>
  <c r="H6"/>
  <c r="I6"/>
  <c r="K6"/>
  <c r="P6"/>
  <c r="Q6"/>
  <c r="R6"/>
  <c r="T6"/>
  <c r="X6"/>
  <c r="Y6"/>
  <c r="A16"/>
  <c r="AA2" l="1"/>
  <c r="AA3"/>
  <c r="AA4"/>
  <c r="H2"/>
  <c r="H3"/>
  <c r="H4"/>
  <c r="I4" s="1"/>
  <c r="H5"/>
  <c r="I5" s="1"/>
  <c r="T2"/>
  <c r="T3"/>
  <c r="T4"/>
  <c r="K5"/>
  <c r="X5" s="1"/>
  <c r="P5"/>
  <c r="Q5" s="1"/>
  <c r="Y5"/>
  <c r="K4"/>
  <c r="P4"/>
  <c r="Q4" s="1"/>
  <c r="X4"/>
  <c r="Y4"/>
  <c r="R5" l="1"/>
  <c r="R4"/>
  <c r="I3"/>
  <c r="K3"/>
  <c r="P3"/>
  <c r="X3"/>
  <c r="Y3"/>
  <c r="K2"/>
  <c r="P2"/>
  <c r="R2" s="1"/>
  <c r="X2"/>
  <c r="Y2"/>
  <c r="J13" l="1"/>
  <c r="J14"/>
  <c r="J15"/>
  <c r="L13"/>
  <c r="M13"/>
  <c r="N13"/>
  <c r="O13"/>
  <c r="L14"/>
  <c r="M14"/>
  <c r="N14"/>
  <c r="O14"/>
  <c r="L15"/>
  <c r="M15"/>
  <c r="N15"/>
  <c r="O15"/>
  <c r="J11"/>
  <c r="J12"/>
  <c r="L11"/>
  <c r="M11"/>
  <c r="N11"/>
  <c r="O11"/>
  <c r="L12"/>
  <c r="M12"/>
  <c r="N12"/>
  <c r="O12"/>
  <c r="J9"/>
  <c r="J10"/>
  <c r="L9"/>
  <c r="M9"/>
  <c r="N9"/>
  <c r="O9"/>
  <c r="L10"/>
  <c r="M10"/>
  <c r="N10"/>
  <c r="O10"/>
  <c r="J7"/>
  <c r="J8"/>
  <c r="L7"/>
  <c r="M7"/>
  <c r="N7"/>
  <c r="O7"/>
  <c r="L8"/>
  <c r="M8"/>
  <c r="N8"/>
  <c r="O8"/>
  <c r="J6"/>
  <c r="L6"/>
  <c r="M6"/>
  <c r="N6"/>
  <c r="O6"/>
  <c r="O4"/>
  <c r="N5"/>
  <c r="M2"/>
  <c r="O2"/>
  <c r="N3"/>
  <c r="M4"/>
  <c r="O3"/>
  <c r="N4"/>
  <c r="M5"/>
  <c r="O5"/>
  <c r="N2"/>
  <c r="M3"/>
  <c r="Q3"/>
  <c r="R3"/>
  <c r="J5"/>
  <c r="L5"/>
  <c r="I2"/>
  <c r="Q2"/>
  <c r="S15" l="1"/>
  <c r="S14"/>
  <c r="S13"/>
  <c r="S12"/>
  <c r="S11"/>
  <c r="S10"/>
  <c r="S9"/>
  <c r="S8"/>
  <c r="S7"/>
  <c r="S6"/>
  <c r="S5"/>
  <c r="J4"/>
  <c r="J3"/>
  <c r="J2"/>
  <c r="T10" l="1"/>
  <c r="T5"/>
  <c r="U13" s="1"/>
  <c r="L4"/>
  <c r="L3"/>
  <c r="S3" s="1"/>
  <c r="L2"/>
  <c r="U15" l="1"/>
  <c r="U14"/>
  <c r="U5"/>
  <c r="U12"/>
  <c r="U11"/>
  <c r="U9"/>
  <c r="U10"/>
  <c r="U8"/>
  <c r="U7"/>
  <c r="U6"/>
  <c r="U3"/>
  <c r="S4"/>
  <c r="U4" s="1"/>
  <c r="S2"/>
  <c r="U2" s="1"/>
  <c r="V13" s="1"/>
  <c r="W13" s="1"/>
  <c r="AA13" s="1"/>
  <c r="X16"/>
  <c r="V14" l="1"/>
  <c r="W14" s="1"/>
  <c r="AA14" s="1"/>
  <c r="V15"/>
  <c r="W15" s="1"/>
  <c r="AA15" s="1"/>
  <c r="V11"/>
  <c r="W11" s="1"/>
  <c r="V12"/>
  <c r="W12" s="1"/>
  <c r="V10"/>
  <c r="W10" s="1"/>
  <c r="AA10" s="1"/>
  <c r="V9"/>
  <c r="W9" s="1"/>
  <c r="V7"/>
  <c r="W7" s="1"/>
  <c r="V8"/>
  <c r="W8" s="1"/>
  <c r="AA8" s="1"/>
  <c r="V6"/>
  <c r="W6" s="1"/>
  <c r="AA6" s="1"/>
  <c r="V5"/>
  <c r="V2"/>
  <c r="V4"/>
  <c r="V3"/>
  <c r="W3" s="1"/>
  <c r="Z13" l="1"/>
  <c r="Z14"/>
  <c r="Z15"/>
  <c r="Z11"/>
  <c r="Z12"/>
  <c r="Z9"/>
  <c r="Z10"/>
  <c r="Z7"/>
  <c r="Z8"/>
  <c r="Z6"/>
  <c r="Z4"/>
  <c r="Z5"/>
  <c r="Z2"/>
  <c r="Z3"/>
  <c r="AB3" s="1"/>
  <c r="AG3" s="1"/>
  <c r="W5"/>
  <c r="AA5" s="1"/>
  <c r="W2"/>
  <c r="AB4"/>
  <c r="AG4" s="1"/>
  <c r="W4"/>
  <c r="AB15" l="1"/>
  <c r="AG15"/>
  <c r="AB14"/>
  <c r="AG14"/>
  <c r="AB13"/>
  <c r="AG13"/>
  <c r="AB12"/>
  <c r="AG12"/>
  <c r="AB11"/>
  <c r="AG11"/>
  <c r="AB10"/>
  <c r="AG10"/>
  <c r="AB9"/>
  <c r="AG9"/>
  <c r="AB8"/>
  <c r="AG8"/>
  <c r="AB7"/>
  <c r="AG7"/>
  <c r="AB6"/>
  <c r="AG6"/>
  <c r="AB5"/>
  <c r="AG5" s="1"/>
  <c r="AB2"/>
  <c r="AC13" l="1"/>
  <c r="AE13" s="1"/>
  <c r="AD13"/>
  <c r="AF13" s="1"/>
  <c r="AC14"/>
  <c r="AE14" s="1"/>
  <c r="AD14"/>
  <c r="AF14" s="1"/>
  <c r="AC15"/>
  <c r="AE15" s="1"/>
  <c r="AD15"/>
  <c r="AF15" s="1"/>
  <c r="AC11"/>
  <c r="AE11" s="1"/>
  <c r="AD11"/>
  <c r="AF11" s="1"/>
  <c r="AC12"/>
  <c r="AE12" s="1"/>
  <c r="AD12"/>
  <c r="AF12" s="1"/>
  <c r="AC9"/>
  <c r="AE9" s="1"/>
  <c r="AD9"/>
  <c r="AF9" s="1"/>
  <c r="AC10"/>
  <c r="AE10" s="1"/>
  <c r="AD10"/>
  <c r="AF10" s="1"/>
  <c r="AC7"/>
  <c r="AE7" s="1"/>
  <c r="AD7"/>
  <c r="AF7" s="1"/>
  <c r="AC8"/>
  <c r="AE8" s="1"/>
  <c r="AD8"/>
  <c r="AF8" s="1"/>
  <c r="AC6"/>
  <c r="AE6" s="1"/>
  <c r="AD6"/>
  <c r="AF6" s="1"/>
  <c r="AB16"/>
  <c r="AD5"/>
  <c r="AF5" s="1"/>
  <c r="AC4"/>
  <c r="AE4" s="1"/>
  <c r="AD4"/>
  <c r="AF4" s="1"/>
  <c r="AC5"/>
  <c r="AE5" s="1"/>
  <c r="AD2"/>
  <c r="AF2" s="1"/>
  <c r="AD3"/>
  <c r="AF3" s="1"/>
  <c r="AC3"/>
  <c r="AE3" s="1"/>
  <c r="AC2"/>
  <c r="AE2" s="1"/>
  <c r="AG2"/>
  <c r="AC16" l="1"/>
  <c r="AD16" l="1"/>
  <c r="AE16" s="1"/>
  <c r="AF16" s="1"/>
  <c r="AG16" l="1"/>
</calcChain>
</file>

<file path=xl/comments1.xml><?xml version="1.0" encoding="utf-8"?>
<comments xmlns="http://schemas.openxmlformats.org/spreadsheetml/2006/main">
  <authors>
    <author>Engelbert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U16" authorId="0">
      <text>
        <r>
          <rPr>
            <b/>
            <sz val="8"/>
            <color indexed="81"/>
            <rFont val="Tahoma"/>
            <family val="2"/>
          </rPr>
          <t xml:space="preserve">TOTAL APLICADO RF
</t>
        </r>
      </text>
    </comment>
    <comment ref="V16" authorId="0">
      <text>
        <r>
          <rPr>
            <b/>
            <sz val="8"/>
            <color indexed="81"/>
            <rFont val="Tahoma"/>
            <family val="2"/>
          </rPr>
          <t>APORTE MENSAL</t>
        </r>
      </text>
    </comment>
    <comment ref="AB16" authorId="0">
      <text>
        <r>
          <rPr>
            <b/>
            <sz val="8"/>
            <color indexed="81"/>
            <rFont val="Tahoma"/>
            <family val="2"/>
          </rPr>
          <t>LUCRO BRUTO</t>
        </r>
      </text>
    </comment>
    <comment ref="AC16" authorId="0">
      <text>
        <r>
          <rPr>
            <b/>
            <sz val="8"/>
            <color indexed="81"/>
            <rFont val="Tahoma"/>
            <family val="2"/>
          </rPr>
          <t>IR</t>
        </r>
      </text>
    </comment>
    <comment ref="AD16" authorId="0">
      <text>
        <r>
          <rPr>
            <b/>
            <sz val="8"/>
            <color indexed="81"/>
            <rFont val="Tahoma"/>
            <family val="2"/>
          </rPr>
          <t>SAQUE P/ IR</t>
        </r>
      </text>
    </comment>
    <comment ref="AE16" authorId="0">
      <text>
        <r>
          <rPr>
            <b/>
            <sz val="8"/>
            <color indexed="81"/>
            <rFont val="Tahoma"/>
            <family val="2"/>
          </rPr>
          <t>LUCRO LÍQUIDO</t>
        </r>
      </text>
    </comment>
    <comment ref="AF16" authorId="0">
      <text>
        <r>
          <rPr>
            <b/>
            <sz val="8"/>
            <color indexed="81"/>
            <rFont val="Tahoma"/>
            <family val="2"/>
          </rPr>
          <t>PROTEÇÃO</t>
        </r>
      </text>
    </comment>
    <comment ref="AG16" authorId="0">
      <text>
        <r>
          <rPr>
            <b/>
            <sz val="8"/>
            <color indexed="81"/>
            <rFont val="Tahoma"/>
            <family val="2"/>
          </rPr>
          <t>REINVESTIMENTO</t>
        </r>
      </text>
    </comment>
  </commentList>
</comments>
</file>

<file path=xl/sharedStrings.xml><?xml version="1.0" encoding="utf-8"?>
<sst xmlns="http://schemas.openxmlformats.org/spreadsheetml/2006/main" count="110" uniqueCount="67">
  <si>
    <t>ATIVO</t>
  </si>
  <si>
    <t>QTDE</t>
  </si>
  <si>
    <t>PREÇO</t>
  </si>
  <si>
    <t>[D/N]</t>
  </si>
  <si>
    <t>ISS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</si>
  <si>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</si>
  <si>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</si>
  <si>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</si>
  <si>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</si>
  <si>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</si>
  <si>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</si>
  <si>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</si>
  <si>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</si>
  <si>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</si>
  <si>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</si>
  <si>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</si>
  <si>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</si>
  <si>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</si>
  <si>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</si>
  <si>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</si>
  <si>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</si>
  <si>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</si>
  <si>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</si>
  <si>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</si>
  <si>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</si>
  <si>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</si>
  <si>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</si>
  <si>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</si>
  <si>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</si>
  <si>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</si>
  <si>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</si>
  <si>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</si>
  <si>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</si>
  <si>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</si>
  <si>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</si>
  <si>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</si>
  <si>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</si>
  <si>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</si>
  <si>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OPER/TIPO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</si>
  <si>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</si>
  <si>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</si>
  <si>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</si>
  <si>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</si>
  <si>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</si>
  <si>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</si>
  <si>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</si>
  <si>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</si>
  <si>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</si>
  <si>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</si>
  <si>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</si>
  <si>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</si>
  <si>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</si>
  <si>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</si>
  <si>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</si>
  <si>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</si>
  <si>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</si>
  <si>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</si>
  <si>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IRRF NORMAL</t>
  </si>
  <si>
    <t>IRRF DAYTRADE</t>
  </si>
  <si>
    <t>LUCRO MÊS NORMAL</t>
  </si>
  <si>
    <t>LUCRO MÊS DAYTRADE</t>
  </si>
  <si>
    <t>RENTABILIDADE</t>
  </si>
  <si>
    <t>LUCRO</t>
  </si>
  <si>
    <t>PETRC25</t>
  </si>
  <si>
    <t>VALEC43</t>
  </si>
  <si>
    <t>IRRF FONTE</t>
  </si>
  <si>
    <t>VALED43</t>
  </si>
</sst>
</file>

<file path=xl/styles.xml><?xml version="1.0" encoding="utf-8"?>
<styleSheet xmlns="http://schemas.openxmlformats.org/spreadsheetml/2006/main">
  <numFmts count="7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dd/mm/yyyy"/>
  </numFmts>
  <fonts count="8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0" fontId="3" fillId="0" borderId="0" xfId="2" applyNumberFormat="1" applyFont="1" applyAlignme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70" fontId="3" fillId="0" borderId="0" xfId="0" applyNumberFormat="1" applyFont="1" applyAlignment="1"/>
    <xf numFmtId="10" fontId="3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/>
    <xf numFmtId="164" fontId="7" fillId="0" borderId="0" xfId="0" applyNumberFormat="1" applyFont="1" applyAlignment="1"/>
    <xf numFmtId="164" fontId="3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dd/mm/yyyy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Q65519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16" totalsRowCount="1" headerRowDxfId="35" dataDxfId="33" totalsRowDxfId="34">
  <autoFilter ref="A1:AG15"/>
  <sortState ref="A2:AG8">
    <sortCondition ref="A1:A8"/>
  </sortState>
  <tableColumns count="33">
    <tableColumn id="19" name="ID" totalsRowFunction="max" dataDxfId="67" totalsRowDxfId="32"/>
    <tableColumn id="2" name="ATIVO" dataDxfId="66" totalsRowDxfId="31"/>
    <tableColumn id="3" name="OPER/TIPO" dataDxfId="65" totalsRowDxfId="30"/>
    <tableColumn id="4" name="DATA" dataDxfId="64" totalsRowDxfId="29"/>
    <tableColumn id="5" name="QTDE" dataDxfId="63" totalsRowDxfId="28"/>
    <tableColumn id="6" name="PREÇO" dataDxfId="62" totalsRowDxfId="27"/>
    <tableColumn id="7" name="[D/N]" dataDxfId="61" totalsRowDxfId="26"/>
    <tableColumn id="34" name="DATA DE LIQUIDAÇÃO" dataDxfId="60" totalsRowDxfId="25">
      <calculatedColumnFormula>WORKDAY(NC[[#This Row],[DATA]],3,1)</calculatedColumnFormula>
    </tableColumn>
    <tableColumn id="31" name="DATA BASE" dataDxfId="59" totalsRowDxfId="24">
      <calculatedColumnFormula>EOMONTH(NC[[#This Row],[DATA DE LIQUIDAÇÃO]],0)</calculatedColumnFormula>
    </tableColumn>
    <tableColumn id="21" name="PAR" dataDxfId="58" totalsRowDxfId="23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 DAS OPERAÇÕES" dataDxfId="57" totalsRowDxfId="22">
      <calculatedColumnFormula>[QTDE]*[PREÇO]</calculatedColumnFormula>
    </tableColumn>
    <tableColumn id="9" name="VALOR LÍQUIDO DAS OPERAÇÕES" dataDxfId="56" totalsRowDxfId="21">
      <calculatedColumnFormula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calculatedColumnFormula>
    </tableColumn>
    <tableColumn id="10" name="TAXA DE LIQUIDAÇÃO" dataDxfId="55" totalsRowDxfId="20">
      <calculatedColumnFormula>TRUNC(SUMPRODUCT(N([DATA]=NC[[#This Row],[DATA]]),N([ID]&lt;=NC[[#This Row],[ID]]),N(['[D/N']]="N"),[VALOR DAS OPERAÇÕES]*SETUP!$B$7)  +  SUMPRODUCT(N([DATA]=NC[[#This Row],[DATA]]),N([ID]&lt;=NC[[#This Row],[ID]]),N(['[D/N']]="D"),[VALOR DAS OPERAÇÕES]*SETUP!$E$7),    2)</calculatedColumnFormula>
    </tableColumn>
    <tableColumn id="11" name="EMOLUMENTOS" dataDxfId="54" totalsRowDxfId="1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53" totalsRowDxfId="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52" totalsRowDxfId="17">
      <calculatedColumnFormula>SETUP!$E$3*SUMPRODUCT(N([DATA]=NC[[#This Row],[DATA]]),N([ID]&lt;=NC[[#This Row],[ID]]))</calculatedColumnFormula>
    </tableColumn>
    <tableColumn id="13" name="ISS" dataDxfId="51" totalsRowDxfId="16">
      <calculatedColumnFormula>TRUNC([CORRETAGEM]*SETUP!$F$3,2)</calculatedColumnFormula>
    </tableColumn>
    <tableColumn id="15" name="OUTRAS BOVESPA" dataDxfId="50" totalsRowDxfId="15">
      <calculatedColumnFormula>ROUND([CORRETAGEM]*SETUP!$G$3,2)</calculatedColumnFormula>
    </tableColumn>
    <tableColumn id="16" name="LÍQUIDO BASE" dataDxfId="49" totalsRowDxfId="14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48" totalsRowDxfId="13">
      <calculatedColumnFormula>IF(AND(['[D/N']]="D",    [OPER/TIPO]="CV"),    [LÍQUIDO BASE]*0.01,    0)</calculatedColumnFormula>
    </tableColumn>
    <tableColumn id="35" name="LÍQUIDO" totalsRowFunction="custom" totalsRowDxfId="12">
      <calculatedColumnFormula>[LÍQUIDO BASE]-SUMPRODUCT(N([DATA]=NC[[#This Row],[DATA]]),    [IRRF FONTE])</calculatedColumnFormula>
      <totalsRowFormula>119.16+86.11+92.33+179.97</totalsRowFormula>
    </tableColumn>
    <tableColumn id="17" name="VALOR P/ OP" totalsRowFunction="custom" dataDxfId="47" totalsRowDxfId="11" dataCellStyle="Moeda">
      <calculatedColumnFormula>[LÍQUIDO]-SUMPRODUCT(N([DATA]=NC[[#This Row],[DATA]]),N([ID]=(NC[[#This Row],[ID]]-1)),[LÍQUIDO])</calculatedColumnFormula>
      <totalsRowFormula>380</totalsRowFormula>
    </tableColumn>
    <tableColumn id="18" name="MEDIO P/ OP" dataDxfId="46" totalsRowDxfId="10">
      <calculatedColumnFormula>ABS(V2)/E2</calculatedColumnFormula>
    </tableColumn>
    <tableColumn id="20" name="IRRF" totalsRowFunction="sum" dataDxfId="45" totalsRowDxfId="9">
      <calculatedColumnFormula>TRUNC(IF(OR([OPER/TIPO]="CV",[OPER/TIPO]="VV"),     K2*SETUP!$H$3,     0),2)</calculatedColumnFormula>
    </tableColumn>
    <tableColumn id="24" name="SALDO" dataDxfId="44" totalsRowDxfId="8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3" totalsRowDxfId="7">
      <calculatedColumnFormula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calculatedColumnFormula>
    </tableColumn>
    <tableColumn id="23" name="MED VD" dataDxfId="42" totalsRowDxfId="6">
      <calculatedColumnFormula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calculatedColumnFormula>
    </tableColumn>
    <tableColumn id="25" name="LUCRO" totalsRowFunction="sum" dataDxfId="41" totalsRowDxfId="5">
      <calculatedColumnFormula>IF(AND([MED CP]&gt;0,[MED VD]&gt;0),([MED VD]-[MED CP])*[QTDE],0)</calculatedColumnFormula>
    </tableColumn>
    <tableColumn id="37" name="LUCRO MÊS NORMAL" totalsRowFunction="custom" dataDxfId="40" totalsRowDxfId="4">
      <calculatedColumnFormula>SUMPRODUCT(N([DATA BASE]=NC[[#This Row],[DATA BASE]]),    N(['[D/N']]="N"),    [LUCRO])</calculatedColumnFormula>
      <totalsRowFormula>SUMPRODUCT(N([ID]=NC[[#Totals],[ID]]),[IRRF NORMAL] + [IRRF DAYTRADE])</totalsRowFormula>
    </tableColumn>
    <tableColumn id="39" name="LUCRO MÊS DAYTRADE" totalsRowFunction="custom" dataDxfId="39" totalsRowDxfId="3">
      <calculatedColumnFormula>SUMPRODUCT(N([DATA BASE]=NC[[#This Row],[DATA BASE]]),    N(['[D/N']]="D"),    [LUCRO]) + SUMPRODUCT(N([DATA BASE]=NC[[#This Row],[DATA BASE]]),    [IRRF FONTE])</calculatedColumnFormula>
      <totalsRowFormula>NC[[#Totals],[LUCRO MÊS NORMAL]]+8.9</totalsRowFormula>
    </tableColumn>
    <tableColumn id="32" name="IRRF NORMAL" totalsRowFunction="custom" dataDxfId="38" totalsRowDxfId="2" dataCellStyle="Moeda">
      <calculatedColumnFormula>IF([LUCRO MÊS NORMAL] &gt; 0,     ROUND([LUCRO MÊS NORMAL]*0.15,    2),    0)</calculatedColumnFormula>
      <totalsRowFormula>NC[[#Totals],[LUCRO]]-NC[[#Totals],[LUCRO MÊS DAYTRADE]]</totalsRowFormula>
    </tableColumn>
    <tableColumn id="38" name="IRRF DAYTRADE" totalsRowFunction="custom" dataDxfId="37" totalsRowDxfId="1" dataCellStyle="Moeda">
      <calculatedColumnFormula>IF([LUCRO MÊS DAYTRADE] &gt; 0,     ROUND([LUCRO MÊS DAYTRADE]*0.2,    2)  -  SUMPRODUCT(N([DATA BASE]=NC[[#This Row],[DATA BASE]]),    [IRRF FONTE]),    0)</calculatedColumnFormula>
      <totalsRowFormula>ROUND(NC[[#Totals],[IRRF NORMAL]] * 0.8,    2) - NC[[#Totals],[LÍQUIDO]]</totalsRowFormula>
    </tableColumn>
    <tableColumn id="30" name="RENTABILIDADE" totalsRowFunction="custom" dataDxfId="36" totalsRowDxfId="0" dataCellStyle="Moeda">
      <calculatedColumnFormula>IF([MED CP] = 0,    0,    [LUCRO] / ABS([QTDE] * [MED CP]))</calculatedColumnFormula>
      <totalsRowFormula>NC[[#Totals],[VALOR P/ OP]] + NC[[#Totals],[IRRF NORMAL]] - NC[[#Totals],[LÍQUIDO]]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28</v>
      </c>
      <c r="B3" s="11"/>
    </row>
    <row r="4" spans="1:2">
      <c r="A4" s="8" t="s">
        <v>0</v>
      </c>
      <c r="B4" s="11" t="s">
        <v>27</v>
      </c>
    </row>
    <row r="5" spans="1:2">
      <c r="A5" s="7" t="s">
        <v>23</v>
      </c>
      <c r="B5" s="12">
        <v>-862.45000000000027</v>
      </c>
    </row>
    <row r="6" spans="1:2">
      <c r="A6" s="9" t="s">
        <v>20</v>
      </c>
      <c r="B6" s="13">
        <v>-130.13999999999999</v>
      </c>
    </row>
    <row r="7" spans="1:2">
      <c r="A7" s="9" t="s">
        <v>17</v>
      </c>
      <c r="B7" s="13">
        <v>205.45000000000027</v>
      </c>
    </row>
    <row r="8" spans="1:2">
      <c r="A8" s="9" t="s">
        <v>24</v>
      </c>
      <c r="B8" s="13">
        <v>-1201.19</v>
      </c>
    </row>
    <row r="9" spans="1:2">
      <c r="A9" s="9" t="s">
        <v>8</v>
      </c>
      <c r="B9" s="13">
        <v>-121.93</v>
      </c>
    </row>
    <row r="10" spans="1:2">
      <c r="A10" s="9" t="s">
        <v>19</v>
      </c>
      <c r="B10" s="13">
        <v>-21.560000000000855</v>
      </c>
    </row>
    <row r="11" spans="1:2">
      <c r="A11" s="9" t="s">
        <v>21</v>
      </c>
      <c r="B11" s="13">
        <v>-81.129999999999654</v>
      </c>
    </row>
    <row r="12" spans="1:2">
      <c r="A12" s="9" t="s">
        <v>6</v>
      </c>
      <c r="B12" s="13">
        <v>-255.90999999999991</v>
      </c>
    </row>
    <row r="13" spans="1:2">
      <c r="A13" s="9" t="s">
        <v>18</v>
      </c>
      <c r="B13" s="13">
        <v>-88.079999999999814</v>
      </c>
    </row>
    <row r="14" spans="1:2">
      <c r="A14" s="9" t="s">
        <v>22</v>
      </c>
      <c r="B14" s="13">
        <v>-150.42000000000007</v>
      </c>
    </row>
    <row r="15" spans="1:2">
      <c r="A15" s="9" t="s">
        <v>25</v>
      </c>
      <c r="B15" s="13"/>
    </row>
    <row r="16" spans="1:2">
      <c r="A16" s="10" t="s">
        <v>26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6"/>
  <sheetViews>
    <sheetView tabSelected="1" workbookViewId="0">
      <pane xSplit="7" ySplit="1" topLeftCell="H2" activePane="bottomRight" state="frozen"/>
      <selection pane="topRight" activeCell="I1" sqref="I1"/>
      <selection pane="bottomLeft" activeCell="A2" sqref="A2"/>
      <selection pane="bottomRight" activeCell="V16" sqref="V16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" style="15" bestFit="1" customWidth="1"/>
    <col min="8" max="8" width="18" style="15" hidden="1" customWidth="1"/>
    <col min="9" max="9" width="10.5703125" style="15" hidden="1" customWidth="1"/>
    <col min="10" max="10" width="5.85546875" style="16" hidden="1" customWidth="1"/>
    <col min="11" max="11" width="19" style="15" hidden="1" customWidth="1"/>
    <col min="12" max="12" width="25.28515625" style="17" hidden="1" customWidth="1"/>
    <col min="13" max="13" width="17.85546875" style="15" hidden="1" customWidth="1"/>
    <col min="14" max="14" width="13.7109375" style="16" hidden="1" customWidth="1"/>
    <col min="15" max="15" width="15.5703125" style="16" hidden="1" customWidth="1"/>
    <col min="16" max="16" width="12.42578125" style="15" hidden="1" customWidth="1"/>
    <col min="17" max="17" width="6.85546875" style="15" hidden="1" customWidth="1"/>
    <col min="18" max="18" width="15" style="15" hidden="1" customWidth="1"/>
    <col min="19" max="19" width="12.5703125" style="15" hidden="1" customWidth="1"/>
    <col min="20" max="20" width="10.42578125" style="15" bestFit="1" customWidth="1"/>
    <col min="21" max="21" width="9.85546875" style="15" bestFit="1" customWidth="1"/>
    <col min="22" max="22" width="11.85546875" style="15" bestFit="1" customWidth="1"/>
    <col min="23" max="23" width="11.85546875" style="15" hidden="1" customWidth="1"/>
    <col min="24" max="24" width="8.28515625" style="15" hidden="1" customWidth="1"/>
    <col min="25" max="25" width="8.5703125" style="15" hidden="1" customWidth="1"/>
    <col min="26" max="26" width="9.85546875" style="15" hidden="1" customWidth="1"/>
    <col min="27" max="27" width="11.140625" style="15" hidden="1" customWidth="1"/>
    <col min="28" max="28" width="9.85546875" style="15" bestFit="1" customWidth="1"/>
    <col min="29" max="29" width="17.28515625" style="15" bestFit="1" customWidth="1"/>
    <col min="30" max="30" width="18.42578125" style="15" bestFit="1" customWidth="1"/>
    <col min="31" max="31" width="12.42578125" style="15" bestFit="1" customWidth="1"/>
    <col min="32" max="32" width="13.5703125" style="15" bestFit="1" customWidth="1"/>
    <col min="33" max="33" width="13.7109375" style="15" bestFit="1" customWidth="1"/>
    <col min="34" max="16384" width="11.5703125" style="15"/>
  </cols>
  <sheetData>
    <row r="1" spans="1:33" s="18" customFormat="1">
      <c r="A1" s="18" t="s">
        <v>30</v>
      </c>
      <c r="B1" s="18" t="s">
        <v>0</v>
      </c>
      <c r="C1" s="18" t="s">
        <v>38</v>
      </c>
      <c r="D1" s="18" t="s">
        <v>29</v>
      </c>
      <c r="E1" s="18" t="s">
        <v>1</v>
      </c>
      <c r="F1" s="18" t="s">
        <v>2</v>
      </c>
      <c r="G1" s="18" t="s">
        <v>3</v>
      </c>
      <c r="H1" s="18" t="s">
        <v>54</v>
      </c>
      <c r="I1" s="18" t="s">
        <v>55</v>
      </c>
      <c r="J1" s="18" t="s">
        <v>35</v>
      </c>
      <c r="K1" s="18" t="s">
        <v>48</v>
      </c>
      <c r="L1" s="18" t="s">
        <v>49</v>
      </c>
      <c r="M1" s="19" t="s">
        <v>50</v>
      </c>
      <c r="N1" s="18" t="s">
        <v>51</v>
      </c>
      <c r="O1" s="18" t="s">
        <v>52</v>
      </c>
      <c r="P1" s="20" t="s">
        <v>11</v>
      </c>
      <c r="Q1" s="18" t="s">
        <v>4</v>
      </c>
      <c r="R1" s="20" t="s">
        <v>53</v>
      </c>
      <c r="S1" s="18" t="s">
        <v>47</v>
      </c>
      <c r="T1" s="20" t="s">
        <v>65</v>
      </c>
      <c r="U1" s="20" t="s">
        <v>5</v>
      </c>
      <c r="V1" s="18" t="s">
        <v>31</v>
      </c>
      <c r="W1" s="18" t="s">
        <v>56</v>
      </c>
      <c r="X1" s="18" t="s">
        <v>32</v>
      </c>
      <c r="Y1" s="18" t="s">
        <v>36</v>
      </c>
      <c r="Z1" s="18" t="s">
        <v>33</v>
      </c>
      <c r="AA1" s="18" t="s">
        <v>34</v>
      </c>
      <c r="AB1" s="18" t="s">
        <v>62</v>
      </c>
      <c r="AC1" s="18" t="s">
        <v>59</v>
      </c>
      <c r="AD1" s="18" t="s">
        <v>60</v>
      </c>
      <c r="AE1" s="18" t="s">
        <v>57</v>
      </c>
      <c r="AF1" s="18" t="s">
        <v>58</v>
      </c>
      <c r="AG1" s="18" t="s">
        <v>61</v>
      </c>
    </row>
    <row r="2" spans="1:33">
      <c r="A2" s="21">
        <v>1</v>
      </c>
      <c r="B2" s="21" t="s">
        <v>43</v>
      </c>
      <c r="C2" s="21" t="s">
        <v>39</v>
      </c>
      <c r="D2" s="22">
        <v>40980</v>
      </c>
      <c r="E2" s="21">
        <v>600</v>
      </c>
      <c r="F2" s="23">
        <v>0.28000000000000003</v>
      </c>
      <c r="G2" s="21" t="s">
        <v>7</v>
      </c>
      <c r="H2" s="22">
        <f>WORKDAY(NC[[#This Row],[DATA]],3,1)</f>
        <v>40983</v>
      </c>
      <c r="I2" s="30">
        <f>EOMONTH(NC[[#This Row],[DATA DE LIQUIDAÇÃO]],0)</f>
        <v>40999</v>
      </c>
      <c r="J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2" s="23">
        <f>[QTDE]*[PREÇO]</f>
        <v>168.00000000000003</v>
      </c>
      <c r="L2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-168.00000000000003</v>
      </c>
      <c r="M2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0.04</v>
      </c>
      <c r="N2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O2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P2" s="23">
        <f>SETUP!$E$3*SUMPRODUCT(N([DATA]=NC[[#This Row],[DATA]]),N([ID]&lt;=NC[[#This Row],[ID]]))</f>
        <v>14.9</v>
      </c>
      <c r="Q2" s="23">
        <f>TRUNC([CORRETAGEM]*SETUP!$F$3,2)</f>
        <v>0.28999999999999998</v>
      </c>
      <c r="R2" s="23">
        <f>ROUND([CORRETAGEM]*SETUP!$G$3,2)</f>
        <v>0.57999999999999996</v>
      </c>
      <c r="S2" s="23">
        <f>[VALOR LÍQUIDO DAS OPERAÇÕES]-[TAXA DE LIQUIDAÇÃO]-[EMOLUMENTOS]-[TAXA DE REGISTRO]-[CORRETAGEM]-[ISS]-IF(['[D/N']]="D",    0,    [OUTRAS BOVESPA])</f>
        <v>-183.98000000000005</v>
      </c>
      <c r="T2" s="23">
        <f>IF(AND(['[D/N']]="D",    [OPER/TIPO]="CV"),    [LÍQUIDO BASE]*0.01,    0)</f>
        <v>0</v>
      </c>
      <c r="U2" s="23">
        <f>[LÍQUIDO BASE]-SUMPRODUCT(N([DATA]=NC[[#This Row],[DATA]]),    [IRRF FONTE])</f>
        <v>-183.98000000000005</v>
      </c>
      <c r="V2" s="23">
        <f>[LÍQUIDO]-SUMPRODUCT(N([DATA]=NC[[#This Row],[DATA]]),N([ID]=(NC[[#This Row],[ID]]-1)),[LÍQUIDO])</f>
        <v>-183.98000000000005</v>
      </c>
      <c r="W2" s="23">
        <f t="shared" ref="W2:W8" si="0">ABS(V2)/E2</f>
        <v>0.30663333333333342</v>
      </c>
      <c r="X2" s="23">
        <f>TRUNC(IF(OR([OPER/TIPO]="CV",[OPER/TIPO]="VV"),     K2*SETUP!$H$3,     0),2)</f>
        <v>0</v>
      </c>
      <c r="Y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</v>
      </c>
      <c r="Z2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0.30663333333333342</v>
      </c>
      <c r="AA2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2" s="23">
        <f>IF(AND([MED CP]&gt;0,[MED VD]&gt;0),([MED VD]-[MED CP])*[QTDE],0)</f>
        <v>0</v>
      </c>
      <c r="AC2" s="23">
        <f>SUMPRODUCT(N([DATA BASE]=NC[[#This Row],[DATA BASE]]),    N(['[D/N']]="N"),    [LUCRO])</f>
        <v>14.719999999999906</v>
      </c>
      <c r="AD2" s="23">
        <f>SUMPRODUCT(N([DATA BASE]=NC[[#This Row],[DATA BASE]]),    N(['[D/N']]="D"),    [LUCRO]) + SUMPRODUCT(N([DATA BASE]=NC[[#This Row],[DATA BASE]]),    [IRRF FONTE])</f>
        <v>478.50999999999988</v>
      </c>
      <c r="AE2" s="28">
        <f>IF([LUCRO MÊS NORMAL] &gt; 0,     ROUND([LUCRO MÊS NORMAL]*0.15,    2),    0)</f>
        <v>2.21</v>
      </c>
      <c r="AF2" s="28">
        <f>IF([LUCRO MÊS DAYTRADE] &gt; 0,     ROUND([LUCRO MÊS DAYTRADE]*0.2,    2)  -  SUMPRODUCT(N([DATA BASE]=NC[[#This Row],[DATA BASE]]),    [IRRF FONTE]),    0)</f>
        <v>90.914900000000003</v>
      </c>
      <c r="AG2" s="27">
        <f>IF([MED CP] = 0,    0,    [LUCRO] / ABS([QTDE] * [MED CP]))</f>
        <v>0</v>
      </c>
    </row>
    <row r="3" spans="1:33">
      <c r="A3" s="21">
        <v>2</v>
      </c>
      <c r="B3" s="21" t="s">
        <v>44</v>
      </c>
      <c r="C3" s="21" t="s">
        <v>39</v>
      </c>
      <c r="D3" s="22">
        <v>40980</v>
      </c>
      <c r="E3" s="21">
        <v>400</v>
      </c>
      <c r="F3" s="23">
        <v>0.4</v>
      </c>
      <c r="G3" s="21" t="s">
        <v>7</v>
      </c>
      <c r="H3" s="22">
        <f>WORKDAY(NC[[#This Row],[DATA]],3,1)</f>
        <v>40983</v>
      </c>
      <c r="I3" s="30">
        <f>EOMONTH(NC[[#This Row],[DATA DE LIQUIDAÇÃO]],0)</f>
        <v>40999</v>
      </c>
      <c r="J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3" s="23">
        <f>[QTDE]*[PREÇO]</f>
        <v>160</v>
      </c>
      <c r="L3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-328</v>
      </c>
      <c r="M3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0.09</v>
      </c>
      <c r="N3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O3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P3" s="23">
        <f>SETUP!$E$3*SUMPRODUCT(N([DATA]=NC[[#This Row],[DATA]]),N([ID]&lt;=NC[[#This Row],[ID]]))</f>
        <v>29.8</v>
      </c>
      <c r="Q3" s="23">
        <f>TRUNC([CORRETAGEM]*SETUP!$F$3,2)</f>
        <v>0.59</v>
      </c>
      <c r="R3" s="23">
        <f>ROUND([CORRETAGEM]*SETUP!$G$3,2)</f>
        <v>1.1599999999999999</v>
      </c>
      <c r="S3" s="23">
        <f>[VALOR LÍQUIDO DAS OPERAÇÕES]-[TAXA DE LIQUIDAÇÃO]-[EMOLUMENTOS]-[TAXA DE REGISTRO]-[CORRETAGEM]-[ISS]-IF(['[D/N']]="D",    0,    [OUTRAS BOVESPA])</f>
        <v>-359.98</v>
      </c>
      <c r="T3" s="23">
        <f>IF(AND(['[D/N']]="D",    [OPER/TIPO]="CV"),    [LÍQUIDO BASE]*0.01,    0)</f>
        <v>0</v>
      </c>
      <c r="U3" s="23">
        <f>[LÍQUIDO BASE]-SUMPRODUCT(N([DATA]=NC[[#This Row],[DATA]]),    [IRRF FONTE])</f>
        <v>-359.98</v>
      </c>
      <c r="V3" s="23">
        <f>[LÍQUIDO]-SUMPRODUCT(N([DATA]=NC[[#This Row],[DATA]]),N([ID]=(NC[[#This Row],[ID]]-1)),[LÍQUIDO])</f>
        <v>-175.99999999999997</v>
      </c>
      <c r="W3" s="23">
        <f t="shared" si="0"/>
        <v>0.43999999999999995</v>
      </c>
      <c r="X3" s="23">
        <f>TRUNC(IF(OR([OPER/TIPO]="CV",[OPER/TIPO]="VV"),     K3*SETUP!$H$3,     0),2)</f>
        <v>0</v>
      </c>
      <c r="Y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3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0.43999999999999995</v>
      </c>
      <c r="AA3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3" s="23">
        <f>IF(AND([MED CP]&gt;0,[MED VD]&gt;0),([MED VD]-[MED CP])*[QTDE],0)</f>
        <v>0</v>
      </c>
      <c r="AC3" s="23">
        <f>SUMPRODUCT(N([DATA BASE]=NC[[#This Row],[DATA BASE]]),    N(['[D/N']]="N"),    [LUCRO])</f>
        <v>14.719999999999906</v>
      </c>
      <c r="AD3" s="23">
        <f>SUMPRODUCT(N([DATA BASE]=NC[[#This Row],[DATA BASE]]),    N(['[D/N']]="D"),    [LUCRO]) + SUMPRODUCT(N([DATA BASE]=NC[[#This Row],[DATA BASE]]),    [IRRF FONTE])</f>
        <v>478.50999999999988</v>
      </c>
      <c r="AE3" s="28">
        <f>IF([LUCRO MÊS NORMAL] &gt; 0,     ROUND([LUCRO MÊS NORMAL]*0.15,    2),    0)</f>
        <v>2.21</v>
      </c>
      <c r="AF3" s="28">
        <f>IF([LUCRO MÊS DAYTRADE] &gt; 0,     ROUND([LUCRO MÊS DAYTRADE]*0.2,    2)  -  SUMPRODUCT(N([DATA BASE]=NC[[#This Row],[DATA BASE]]),    [IRRF FONTE]),    0)</f>
        <v>90.914900000000003</v>
      </c>
      <c r="AG3" s="27">
        <f>IF([MED CP] = 0,    0,    [LUCRO] / ABS([QTDE] * [MED CP]))</f>
        <v>0</v>
      </c>
    </row>
    <row r="4" spans="1:33">
      <c r="A4" s="21">
        <v>3</v>
      </c>
      <c r="B4" s="21" t="s">
        <v>45</v>
      </c>
      <c r="C4" s="21" t="s">
        <v>39</v>
      </c>
      <c r="D4" s="22">
        <v>40981</v>
      </c>
      <c r="E4" s="21">
        <v>1200</v>
      </c>
      <c r="F4" s="23">
        <v>0.19</v>
      </c>
      <c r="G4" s="21" t="s">
        <v>16</v>
      </c>
      <c r="H4" s="22">
        <f>WORKDAY(NC[[#This Row],[DATA]],3,1)</f>
        <v>40984</v>
      </c>
      <c r="I4" s="30">
        <f>EOMONTH(NC[[#This Row],[DATA DE LIQUIDAÇÃO]],0)</f>
        <v>40999</v>
      </c>
      <c r="J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K4" s="23">
        <f>[QTDE]*[PREÇO]</f>
        <v>228</v>
      </c>
      <c r="L4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-228</v>
      </c>
      <c r="M4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0.04</v>
      </c>
      <c r="N4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O4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P4" s="23">
        <f>SETUP!$E$3*SUMPRODUCT(N([DATA]=NC[[#This Row],[DATA]]),N([ID]&lt;=NC[[#This Row],[ID]]))</f>
        <v>14.9</v>
      </c>
      <c r="Q4" s="23">
        <f>TRUNC([CORRETAGEM]*SETUP!$F$3,2)</f>
        <v>0.28999999999999998</v>
      </c>
      <c r="R4" s="23">
        <f>ROUND([CORRETAGEM]*SETUP!$G$3,2)</f>
        <v>0.57999999999999996</v>
      </c>
      <c r="S4" s="23">
        <f>[VALOR LÍQUIDO DAS OPERAÇÕES]-[TAXA DE LIQUIDAÇÃO]-[EMOLUMENTOS]-[TAXA DE REGISTRO]-[CORRETAGEM]-[ISS]-IF(['[D/N']]="D",    0,    [OUTRAS BOVESPA])</f>
        <v>-243.28</v>
      </c>
      <c r="T4" s="23">
        <f>IF(AND(['[D/N']]="D",    [OPER/TIPO]="CV"),    [LÍQUIDO BASE]*0.01,    0)</f>
        <v>0</v>
      </c>
      <c r="U4" s="23">
        <f>[LÍQUIDO BASE]-SUMPRODUCT(N([DATA]=NC[[#This Row],[DATA]]),    [IRRF FONTE])</f>
        <v>-245.25309999999999</v>
      </c>
      <c r="V4" s="23">
        <f>[LÍQUIDO]-SUMPRODUCT(N([DATA]=NC[[#This Row],[DATA]]),N([ID]=(NC[[#This Row],[ID]]-1)),[LÍQUIDO])</f>
        <v>-245.25309999999999</v>
      </c>
      <c r="W4" s="23">
        <f t="shared" si="0"/>
        <v>0.20437758333333333</v>
      </c>
      <c r="X4" s="23">
        <f>TRUNC(IF(OR([OPER/TIPO]="CV",[OPER/TIPO]="VV"),     K4*SETUP!$H$3,     0),2)</f>
        <v>0</v>
      </c>
      <c r="Y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0.20437758333333333</v>
      </c>
      <c r="AA4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4" s="23">
        <f>IF(AND([MED CP]&gt;0,[MED VD]&gt;0),([MED VD]-[MED CP])*[QTDE],0)</f>
        <v>0</v>
      </c>
      <c r="AC4" s="23">
        <f>SUMPRODUCT(N([DATA BASE]=NC[[#This Row],[DATA BASE]]),    N(['[D/N']]="N"),    [LUCRO])</f>
        <v>14.719999999999906</v>
      </c>
      <c r="AD4" s="23">
        <f>SUMPRODUCT(N([DATA BASE]=NC[[#This Row],[DATA BASE]]),    N(['[D/N']]="D"),    [LUCRO]) + SUMPRODUCT(N([DATA BASE]=NC[[#This Row],[DATA BASE]]),    [IRRF FONTE])</f>
        <v>478.50999999999988</v>
      </c>
      <c r="AE4" s="29">
        <f>IF([LUCRO MÊS NORMAL] &gt; 0,     ROUND([LUCRO MÊS NORMAL]*0.15,    2),    0)</f>
        <v>2.21</v>
      </c>
      <c r="AF4" s="29">
        <f>IF([LUCRO MÊS DAYTRADE] &gt; 0,     ROUND([LUCRO MÊS DAYTRADE]*0.2,    2)  -  SUMPRODUCT(N([DATA BASE]=NC[[#This Row],[DATA BASE]]),    [IRRF FONTE]),    0)</f>
        <v>90.914900000000003</v>
      </c>
      <c r="AG4" s="27">
        <f>IF([MED CP] = 0,    0,    [LUCRO] / ABS([QTDE] * [MED CP]))</f>
        <v>0</v>
      </c>
    </row>
    <row r="5" spans="1:33">
      <c r="A5" s="21">
        <v>4</v>
      </c>
      <c r="B5" s="21" t="s">
        <v>45</v>
      </c>
      <c r="C5" s="21" t="s">
        <v>40</v>
      </c>
      <c r="D5" s="22">
        <v>40981</v>
      </c>
      <c r="E5" s="21">
        <v>1200</v>
      </c>
      <c r="F5" s="23">
        <v>0.38</v>
      </c>
      <c r="G5" s="21" t="s">
        <v>16</v>
      </c>
      <c r="H5" s="22">
        <f>WORKDAY(NC[[#This Row],[DATA]],3,1)</f>
        <v>40984</v>
      </c>
      <c r="I5" s="30">
        <f>EOMONTH(NC[[#This Row],[DATA DE LIQUIDAÇÃO]],0)</f>
        <v>40999</v>
      </c>
      <c r="J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K5" s="23">
        <f>[QTDE]*[PREÇO]</f>
        <v>456</v>
      </c>
      <c r="L5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228</v>
      </c>
      <c r="M5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0.12</v>
      </c>
      <c r="N5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O5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P5" s="23">
        <f>SETUP!$E$3*SUMPRODUCT(N([DATA]=NC[[#This Row],[DATA]]),N([ID]&lt;=NC[[#This Row],[ID]]))</f>
        <v>29.8</v>
      </c>
      <c r="Q5" s="23">
        <f>TRUNC([CORRETAGEM]*SETUP!$F$3,2)</f>
        <v>0.59</v>
      </c>
      <c r="R5" s="23">
        <f>ROUND([CORRETAGEM]*SETUP!$G$3,2)</f>
        <v>1.1599999999999999</v>
      </c>
      <c r="S5" s="23">
        <f>[VALOR LÍQUIDO DAS OPERAÇÕES]-[TAXA DE LIQUIDAÇÃO]-[EMOLUMENTOS]-[TAXA DE REGISTRO]-[CORRETAGEM]-[ISS]-IF(['[D/N']]="D",    0,    [OUTRAS BOVESPA])</f>
        <v>197.30999999999997</v>
      </c>
      <c r="T5" s="23">
        <f>IF(AND(['[D/N']]="D",    [OPER/TIPO]="CV"),    [LÍQUIDO BASE]*0.01,    0)</f>
        <v>1.9730999999999999</v>
      </c>
      <c r="U5" s="23">
        <f>[LÍQUIDO BASE]-SUMPRODUCT(N([DATA]=NC[[#This Row],[DATA]]),    [IRRF FONTE])</f>
        <v>195.33689999999999</v>
      </c>
      <c r="V5" s="23">
        <f>[LÍQUIDO]-SUMPRODUCT(N([DATA]=NC[[#This Row],[DATA]]),N([ID]=(NC[[#This Row],[ID]]-1)),[LÍQUIDO])</f>
        <v>440.59</v>
      </c>
      <c r="W5" s="23">
        <f t="shared" si="0"/>
        <v>0.36715833333333331</v>
      </c>
      <c r="X5" s="23">
        <f>TRUNC(IF(OR([OPER/TIPO]="CV",[OPER/TIPO]="VV"),     K5*SETUP!$H$3,     0),2)</f>
        <v>0.02</v>
      </c>
      <c r="Y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0.20437758333333333</v>
      </c>
      <c r="AA5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0.36715833333333331</v>
      </c>
      <c r="AB5" s="23">
        <f>IF(AND([MED CP]&gt;0,[MED VD]&gt;0),([MED VD]-[MED CP])*[QTDE],0)</f>
        <v>195.33689999999996</v>
      </c>
      <c r="AC5" s="23">
        <f>SUMPRODUCT(N([DATA BASE]=NC[[#This Row],[DATA BASE]]),    N(['[D/N']]="N"),    [LUCRO])</f>
        <v>14.719999999999906</v>
      </c>
      <c r="AD5" s="23">
        <f>SUMPRODUCT(N([DATA BASE]=NC[[#This Row],[DATA BASE]]),    N(['[D/N']]="D"),    [LUCRO]) + SUMPRODUCT(N([DATA BASE]=NC[[#This Row],[DATA BASE]]),    [IRRF FONTE])</f>
        <v>478.50999999999988</v>
      </c>
      <c r="AE5" s="29">
        <f>IF([LUCRO MÊS NORMAL] &gt; 0,     ROUND([LUCRO MÊS NORMAL]*0.15,    2),    0)</f>
        <v>2.21</v>
      </c>
      <c r="AF5" s="29">
        <f>IF([LUCRO MÊS DAYTRADE] &gt; 0,     ROUND([LUCRO MÊS DAYTRADE]*0.2,    2)  -  SUMPRODUCT(N([DATA BASE]=NC[[#This Row],[DATA BASE]]),    [IRRF FONTE]),    0)</f>
        <v>90.914900000000003</v>
      </c>
      <c r="AG5" s="27">
        <f>IF([MED CP] = 0,    0,    [LUCRO] / ABS([QTDE] * [MED CP]))</f>
        <v>0.79647066642582687</v>
      </c>
    </row>
    <row r="6" spans="1:33">
      <c r="A6" s="21">
        <v>5</v>
      </c>
      <c r="B6" s="21" t="s">
        <v>44</v>
      </c>
      <c r="C6" s="21" t="s">
        <v>40</v>
      </c>
      <c r="D6" s="22">
        <v>40981</v>
      </c>
      <c r="E6" s="21">
        <v>400</v>
      </c>
      <c r="F6" s="23">
        <v>0.8</v>
      </c>
      <c r="G6" s="21" t="s">
        <v>7</v>
      </c>
      <c r="H6" s="22">
        <f>WORKDAY(NC[[#This Row],[DATA]],3,1)</f>
        <v>40984</v>
      </c>
      <c r="I6" s="30">
        <f>EOMONTH(NC[[#This Row],[DATA DE LIQUIDAÇÃO]],0)</f>
        <v>40999</v>
      </c>
      <c r="J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6" s="23">
        <f>[QTDE]*[PREÇO]</f>
        <v>320</v>
      </c>
      <c r="L6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548</v>
      </c>
      <c r="M6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0.21</v>
      </c>
      <c r="N6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O6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P6" s="23">
        <f>SETUP!$E$3*SUMPRODUCT(N([DATA]=NC[[#This Row],[DATA]]),N([ID]&lt;=NC[[#This Row],[ID]]))</f>
        <v>44.7</v>
      </c>
      <c r="Q6" s="23">
        <f>TRUNC([CORRETAGEM]*SETUP!$F$3,2)</f>
        <v>0.89</v>
      </c>
      <c r="R6" s="23">
        <f>ROUND([CORRETAGEM]*SETUP!$G$3,2)</f>
        <v>1.74</v>
      </c>
      <c r="S6" s="23">
        <f>[VALOR LÍQUIDO DAS OPERAÇÕES]-[TAXA DE LIQUIDAÇÃO]-[EMOLUMENTOS]-[TAXA DE REGISTRO]-[CORRETAGEM]-[ISS]-IF(['[D/N']]="D",    0,    [OUTRAS BOVESPA])</f>
        <v>499.93999999999988</v>
      </c>
      <c r="T6" s="23">
        <f>IF(AND(['[D/N']]="D",    [OPER/TIPO]="CV"),    [LÍQUIDO BASE]*0.01,    0)</f>
        <v>0</v>
      </c>
      <c r="U6" s="23">
        <f>[LÍQUIDO BASE]-SUMPRODUCT(N([DATA]=NC[[#This Row],[DATA]]),    [IRRF FONTE])</f>
        <v>497.9668999999999</v>
      </c>
      <c r="V6" s="23">
        <f>[LÍQUIDO]-SUMPRODUCT(N([DATA]=NC[[#This Row],[DATA]]),N([ID]=(NC[[#This Row],[ID]]-1)),[LÍQUIDO])</f>
        <v>302.62999999999988</v>
      </c>
      <c r="W6" s="23">
        <f t="shared" si="0"/>
        <v>0.75657499999999966</v>
      </c>
      <c r="X6" s="23">
        <f>TRUNC(IF(OR([OPER/TIPO]="CV",[OPER/TIPO]="VV"),     K6*SETUP!$H$3,     0),2)</f>
        <v>0.01</v>
      </c>
      <c r="Y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0.43999999999999995</v>
      </c>
      <c r="AA6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0.75657499999999966</v>
      </c>
      <c r="AB6" s="23">
        <f>IF(AND([MED CP]&gt;0,[MED VD]&gt;0),([MED VD]-[MED CP])*[QTDE],0)</f>
        <v>126.62999999999988</v>
      </c>
      <c r="AC6" s="23">
        <f>SUMPRODUCT(N([DATA BASE]=NC[[#This Row],[DATA BASE]]),    N(['[D/N']]="N"),    [LUCRO])</f>
        <v>14.719999999999906</v>
      </c>
      <c r="AD6" s="23">
        <f>SUMPRODUCT(N([DATA BASE]=NC[[#This Row],[DATA BASE]]),    N(['[D/N']]="D"),    [LUCRO]) + SUMPRODUCT(N([DATA BASE]=NC[[#This Row],[DATA BASE]]),    [IRRF FONTE])</f>
        <v>478.50999999999988</v>
      </c>
      <c r="AE6" s="29">
        <f>IF([LUCRO MÊS NORMAL] &gt; 0,     ROUND([LUCRO MÊS NORMAL]*0.15,    2),    0)</f>
        <v>2.21</v>
      </c>
      <c r="AF6" s="29">
        <f>IF([LUCRO MÊS DAYTRADE] &gt; 0,     ROUND([LUCRO MÊS DAYTRADE]*0.2,    2)  -  SUMPRODUCT(N([DATA BASE]=NC[[#This Row],[DATA BASE]]),    [IRRF FONTE]),    0)</f>
        <v>90.914900000000003</v>
      </c>
      <c r="AG6" s="27">
        <f>IF([MED CP] = 0,    0,    [LUCRO] / ABS([QTDE] * [MED CP]))</f>
        <v>0.7194886363636358</v>
      </c>
    </row>
    <row r="7" spans="1:33">
      <c r="A7" s="21">
        <v>6</v>
      </c>
      <c r="B7" s="21" t="s">
        <v>46</v>
      </c>
      <c r="C7" s="21" t="s">
        <v>39</v>
      </c>
      <c r="D7" s="22">
        <v>40981</v>
      </c>
      <c r="E7" s="21">
        <v>200</v>
      </c>
      <c r="F7" s="23">
        <v>0.8</v>
      </c>
      <c r="G7" s="21" t="s">
        <v>7</v>
      </c>
      <c r="H7" s="22">
        <f>WORKDAY(NC[[#This Row],[DATA]],3,1)</f>
        <v>40984</v>
      </c>
      <c r="I7" s="30">
        <f>EOMONTH(NC[[#This Row],[DATA DE LIQUIDAÇÃO]],0)</f>
        <v>40999</v>
      </c>
      <c r="J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7" s="23">
        <f>[QTDE]*[PREÇO]</f>
        <v>160</v>
      </c>
      <c r="L7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388</v>
      </c>
      <c r="M7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0.25</v>
      </c>
      <c r="N7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O7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P7" s="23">
        <f>SETUP!$E$3*SUMPRODUCT(N([DATA]=NC[[#This Row],[DATA]]),N([ID]&lt;=NC[[#This Row],[ID]]))</f>
        <v>59.6</v>
      </c>
      <c r="Q7" s="23">
        <f>TRUNC([CORRETAGEM]*SETUP!$F$3,2)</f>
        <v>1.19</v>
      </c>
      <c r="R7" s="23">
        <f>ROUND([CORRETAGEM]*SETUP!$G$3,2)</f>
        <v>2.3199999999999998</v>
      </c>
      <c r="S7" s="23">
        <f>[VALOR LÍQUIDO DAS OPERAÇÕES]-[TAXA DE LIQUIDAÇÃO]-[EMOLUMENTOS]-[TAXA DE REGISTRO]-[CORRETAGEM]-[ISS]-IF(['[D/N']]="D",    0,    [OUTRAS BOVESPA])</f>
        <v>323.95999999999998</v>
      </c>
      <c r="T7" s="23">
        <f>IF(AND(['[D/N']]="D",    [OPER/TIPO]="CV"),    [LÍQUIDO BASE]*0.01,    0)</f>
        <v>0</v>
      </c>
      <c r="U7" s="23">
        <f>[LÍQUIDO BASE]-SUMPRODUCT(N([DATA]=NC[[#This Row],[DATA]]),    [IRRF FONTE])</f>
        <v>321.98689999999999</v>
      </c>
      <c r="V7" s="23">
        <f>[LÍQUIDO]-SUMPRODUCT(N([DATA]=NC[[#This Row],[DATA]]),N([ID]=(NC[[#This Row],[ID]]-1)),[LÍQUIDO])</f>
        <v>-175.9799999999999</v>
      </c>
      <c r="W7" s="23">
        <f t="shared" si="0"/>
        <v>0.87989999999999957</v>
      </c>
      <c r="X7" s="23">
        <f>TRUNC(IF(OR([OPER/TIPO]="CV",[OPER/TIPO]="VV"),     K7*SETUP!$H$3,     0),2)</f>
        <v>0</v>
      </c>
      <c r="Y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0.87989999999999957</v>
      </c>
      <c r="AA7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7" s="23">
        <f>IF(AND([MED CP]&gt;0,[MED VD]&gt;0),([MED VD]-[MED CP])*[QTDE],0)</f>
        <v>0</v>
      </c>
      <c r="AC7" s="23">
        <f>SUMPRODUCT(N([DATA BASE]=NC[[#This Row],[DATA BASE]]),    N(['[D/N']]="N"),    [LUCRO])</f>
        <v>14.719999999999906</v>
      </c>
      <c r="AD7" s="23">
        <f>SUMPRODUCT(N([DATA BASE]=NC[[#This Row],[DATA BASE]]),    N(['[D/N']]="D"),    [LUCRO]) + SUMPRODUCT(N([DATA BASE]=NC[[#This Row],[DATA BASE]]),    [IRRF FONTE])</f>
        <v>478.50999999999988</v>
      </c>
      <c r="AE7" s="29">
        <f>IF([LUCRO MÊS NORMAL] &gt; 0,     ROUND([LUCRO MÊS NORMAL]*0.15,    2),    0)</f>
        <v>2.21</v>
      </c>
      <c r="AF7" s="29">
        <f>IF([LUCRO MÊS DAYTRADE] &gt; 0,     ROUND([LUCRO MÊS DAYTRADE]*0.2,    2)  -  SUMPRODUCT(N([DATA BASE]=NC[[#This Row],[DATA BASE]]),    [IRRF FONTE]),    0)</f>
        <v>90.914900000000003</v>
      </c>
      <c r="AG7" s="27">
        <f>IF([MED CP] = 0,    0,    [LUCRO] / ABS([QTDE] * [MED CP]))</f>
        <v>0</v>
      </c>
    </row>
    <row r="8" spans="1:33">
      <c r="A8" s="21">
        <v>7</v>
      </c>
      <c r="B8" s="21" t="s">
        <v>43</v>
      </c>
      <c r="C8" s="21" t="s">
        <v>40</v>
      </c>
      <c r="D8" s="22">
        <v>40981</v>
      </c>
      <c r="E8" s="21">
        <v>600</v>
      </c>
      <c r="F8" s="23">
        <v>0.56000000000000005</v>
      </c>
      <c r="G8" s="21" t="s">
        <v>7</v>
      </c>
      <c r="H8" s="22">
        <f>WORKDAY(NC[[#This Row],[DATA]],3,1)</f>
        <v>40984</v>
      </c>
      <c r="I8" s="30">
        <f>EOMONTH(NC[[#This Row],[DATA DE LIQUIDAÇÃO]],0)</f>
        <v>40999</v>
      </c>
      <c r="J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8" s="23">
        <f>[QTDE]*[PREÇO]</f>
        <v>336.00000000000006</v>
      </c>
      <c r="L8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724</v>
      </c>
      <c r="M8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0.34</v>
      </c>
      <c r="N8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O8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P8" s="23">
        <f>SETUP!$E$3*SUMPRODUCT(N([DATA]=NC[[#This Row],[DATA]]),N([ID]&lt;=NC[[#This Row],[ID]]))</f>
        <v>74.5</v>
      </c>
      <c r="Q8" s="23">
        <f>TRUNC([CORRETAGEM]*SETUP!$F$3,2)</f>
        <v>1.49</v>
      </c>
      <c r="R8" s="23">
        <f>ROUND([CORRETAGEM]*SETUP!$G$3,2)</f>
        <v>2.91</v>
      </c>
      <c r="S8" s="23">
        <f>[VALOR LÍQUIDO DAS OPERAÇÕES]-[TAXA DE LIQUIDAÇÃO]-[EMOLUMENTOS]-[TAXA DE REGISTRO]-[CORRETAGEM]-[ISS]-IF(['[D/N']]="D",    0,    [OUTRAS BOVESPA])</f>
        <v>643.72</v>
      </c>
      <c r="T8" s="23">
        <f>IF(AND(['[D/N']]="D",    [OPER/TIPO]="CV"),    [LÍQUIDO BASE]*0.01,    0)</f>
        <v>0</v>
      </c>
      <c r="U8" s="23">
        <f>[LÍQUIDO BASE]-SUMPRODUCT(N([DATA]=NC[[#This Row],[DATA]]),    [IRRF FONTE])</f>
        <v>641.74689999999998</v>
      </c>
      <c r="V8" s="23">
        <f>[LÍQUIDO]-SUMPRODUCT(N([DATA]=NC[[#This Row],[DATA]]),N([ID]=(NC[[#This Row],[ID]]-1)),[LÍQUIDO])</f>
        <v>319.76</v>
      </c>
      <c r="W8" s="23">
        <f t="shared" si="0"/>
        <v>0.53293333333333337</v>
      </c>
      <c r="X8" s="23">
        <f>TRUNC(IF(OR([OPER/TIPO]="CV",[OPER/TIPO]="VV"),     K8*SETUP!$H$3,     0),2)</f>
        <v>0.01</v>
      </c>
      <c r="Y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8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0.30663333333333342</v>
      </c>
      <c r="AA8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0.53293333333333337</v>
      </c>
      <c r="AB8" s="23">
        <f>IF(AND([MED CP]&gt;0,[MED VD]&gt;0),([MED VD]-[MED CP])*[QTDE],0)</f>
        <v>135.77999999999997</v>
      </c>
      <c r="AC8" s="23">
        <f>SUMPRODUCT(N([DATA BASE]=NC[[#This Row],[DATA BASE]]),    N(['[D/N']]="N"),    [LUCRO])</f>
        <v>14.719999999999906</v>
      </c>
      <c r="AD8" s="23">
        <f>SUMPRODUCT(N([DATA BASE]=NC[[#This Row],[DATA BASE]]),    N(['[D/N']]="D"),    [LUCRO]) + SUMPRODUCT(N([DATA BASE]=NC[[#This Row],[DATA BASE]]),    [IRRF FONTE])</f>
        <v>478.50999999999988</v>
      </c>
      <c r="AE8" s="29">
        <f>IF([LUCRO MÊS NORMAL] &gt; 0,     ROUND([LUCRO MÊS NORMAL]*0.15,    2),    0)</f>
        <v>2.21</v>
      </c>
      <c r="AF8" s="29">
        <f>IF([LUCRO MÊS DAYTRADE] &gt; 0,     ROUND([LUCRO MÊS DAYTRADE]*0.2,    2)  -  SUMPRODUCT(N([DATA BASE]=NC[[#This Row],[DATA BASE]]),    [IRRF FONTE]),    0)</f>
        <v>90.914900000000003</v>
      </c>
      <c r="AG8" s="27">
        <f>IF([MED CP] = 0,    0,    [LUCRO] / ABS([QTDE] * [MED CP]))</f>
        <v>0.73801500163061173</v>
      </c>
    </row>
    <row r="9" spans="1:33">
      <c r="A9" s="21">
        <v>8</v>
      </c>
      <c r="B9" s="21" t="s">
        <v>63</v>
      </c>
      <c r="C9" s="21" t="s">
        <v>39</v>
      </c>
      <c r="D9" s="22">
        <v>40982</v>
      </c>
      <c r="E9" s="21">
        <v>2400</v>
      </c>
      <c r="F9" s="23">
        <v>0.13</v>
      </c>
      <c r="G9" s="21" t="s">
        <v>16</v>
      </c>
      <c r="H9" s="22">
        <f>WORKDAY(NC[[#This Row],[DATA]],3,1)</f>
        <v>40987</v>
      </c>
      <c r="I9" s="31">
        <f>EOMONTH(NC[[#This Row],[DATA DE LIQUIDAÇÃO]],0)</f>
        <v>40999</v>
      </c>
      <c r="J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K9" s="23">
        <f>[QTDE]*[PREÇO]</f>
        <v>312</v>
      </c>
      <c r="L9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-312</v>
      </c>
      <c r="M9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0.05</v>
      </c>
      <c r="N9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O9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P9" s="23">
        <f>SETUP!$E$3*SUMPRODUCT(N([DATA]=NC[[#This Row],[DATA]]),N([ID]&lt;=NC[[#This Row],[ID]]))</f>
        <v>14.9</v>
      </c>
      <c r="Q9" s="23">
        <f>TRUNC([CORRETAGEM]*SETUP!$F$3,2)</f>
        <v>0.28999999999999998</v>
      </c>
      <c r="R9" s="23">
        <f>ROUND([CORRETAGEM]*SETUP!$G$3,2)</f>
        <v>0.57999999999999996</v>
      </c>
      <c r="S9" s="23">
        <f>[VALOR LÍQUIDO DAS OPERAÇÕES]-[TAXA DE LIQUIDAÇÃO]-[EMOLUMENTOS]-[TAXA DE REGISTRO]-[CORRETAGEM]-[ISS]-IF(['[D/N']]="D",    0,    [OUTRAS BOVESPA])</f>
        <v>-327.31</v>
      </c>
      <c r="T9" s="23">
        <f>IF(AND(['[D/N']]="D",    [OPER/TIPO]="CV"),    [LÍQUIDO BASE]*0.01,    0)</f>
        <v>0</v>
      </c>
      <c r="U9" s="23">
        <f>[LÍQUIDO BASE]-SUMPRODUCT(N([DATA]=NC[[#This Row],[DATA]]),    [IRRF FONTE])</f>
        <v>-330.12200000000001</v>
      </c>
      <c r="V9" s="23">
        <f>[LÍQUIDO]-SUMPRODUCT(N([DATA]=NC[[#This Row],[DATA]]),N([ID]=(NC[[#This Row],[ID]]-1)),[LÍQUIDO])</f>
        <v>-330.12200000000001</v>
      </c>
      <c r="W9" s="23">
        <f t="shared" ref="W9:W14" si="1">ABS(V9)/E9</f>
        <v>0.13755083333333334</v>
      </c>
      <c r="X9" s="23">
        <f>TRUNC(IF(OR([OPER/TIPO]="CV",[OPER/TIPO]="VV"),     K9*SETUP!$H$3,     0),2)</f>
        <v>0</v>
      </c>
      <c r="Y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9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0.13755083333333334</v>
      </c>
      <c r="AA9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9" s="23">
        <f>IF(AND([MED CP]&gt;0,[MED VD]&gt;0),([MED VD]-[MED CP])*[QTDE],0)</f>
        <v>0</v>
      </c>
      <c r="AC9" s="23">
        <f>SUMPRODUCT(N([DATA BASE]=NC[[#This Row],[DATA BASE]]),    N(['[D/N']]="N"),    [LUCRO])</f>
        <v>14.719999999999906</v>
      </c>
      <c r="AD9" s="23">
        <f>SUMPRODUCT(N([DATA BASE]=NC[[#This Row],[DATA BASE]]),    N(['[D/N']]="D"),    [LUCRO]) + SUMPRODUCT(N([DATA BASE]=NC[[#This Row],[DATA BASE]]),    [IRRF FONTE])</f>
        <v>478.50999999999988</v>
      </c>
      <c r="AE9" s="29">
        <f>IF([LUCRO MÊS NORMAL] &gt; 0,     ROUND([LUCRO MÊS NORMAL]*0.15,    2),    0)</f>
        <v>2.21</v>
      </c>
      <c r="AF9" s="28">
        <f>IF([LUCRO MÊS DAYTRADE] &gt; 0,     ROUND([LUCRO MÊS DAYTRADE]*0.2,    2)  -  SUMPRODUCT(N([DATA BASE]=NC[[#This Row],[DATA BASE]]),    [IRRF FONTE]),    0)</f>
        <v>90.914900000000003</v>
      </c>
      <c r="AG9" s="27">
        <f>IF([MED CP] = 0,    0,    [LUCRO] / ABS([QTDE] * [MED CP]))</f>
        <v>0</v>
      </c>
    </row>
    <row r="10" spans="1:33">
      <c r="A10" s="21">
        <v>9</v>
      </c>
      <c r="B10" s="21" t="s">
        <v>63</v>
      </c>
      <c r="C10" s="21" t="s">
        <v>40</v>
      </c>
      <c r="D10" s="22">
        <v>40982</v>
      </c>
      <c r="E10" s="21">
        <v>2400</v>
      </c>
      <c r="F10" s="23">
        <v>0.26</v>
      </c>
      <c r="G10" s="21" t="s">
        <v>16</v>
      </c>
      <c r="H10" s="22">
        <f>WORKDAY(NC[[#This Row],[DATA]],3,1)</f>
        <v>40987</v>
      </c>
      <c r="I10" s="31">
        <f>EOMONTH(NC[[#This Row],[DATA DE LIQUIDAÇÃO]],0)</f>
        <v>40999</v>
      </c>
      <c r="J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K10" s="23">
        <f>[QTDE]*[PREÇO]</f>
        <v>624</v>
      </c>
      <c r="L10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312</v>
      </c>
      <c r="M10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0.16</v>
      </c>
      <c r="N10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O10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P10" s="23">
        <f>SETUP!$E$3*SUMPRODUCT(N([DATA]=NC[[#This Row],[DATA]]),N([ID]&lt;=NC[[#This Row],[ID]]))</f>
        <v>29.8</v>
      </c>
      <c r="Q10" s="23">
        <f>TRUNC([CORRETAGEM]*SETUP!$F$3,2)</f>
        <v>0.59</v>
      </c>
      <c r="R10" s="23">
        <f>ROUND([CORRETAGEM]*SETUP!$G$3,2)</f>
        <v>1.1599999999999999</v>
      </c>
      <c r="S10" s="23">
        <f>[VALOR LÍQUIDO DAS OPERAÇÕES]-[TAXA DE LIQUIDAÇÃO]-[EMOLUMENTOS]-[TAXA DE REGISTRO]-[CORRETAGEM]-[ISS]-IF(['[D/N']]="D",    0,    [OUTRAS BOVESPA])</f>
        <v>281.2</v>
      </c>
      <c r="T10" s="23">
        <f>IF(AND(['[D/N']]="D",    [OPER/TIPO]="CV"),    [LÍQUIDO BASE]*0.01,    0)</f>
        <v>2.8119999999999998</v>
      </c>
      <c r="U10" s="23">
        <f>[LÍQUIDO BASE]-SUMPRODUCT(N([DATA]=NC[[#This Row],[DATA]]),    [IRRF FONTE])</f>
        <v>278.38799999999998</v>
      </c>
      <c r="V10" s="23">
        <f>[LÍQUIDO]-SUMPRODUCT(N([DATA]=NC[[#This Row],[DATA]]),N([ID]=(NC[[#This Row],[ID]]-1)),[LÍQUIDO])</f>
        <v>608.51</v>
      </c>
      <c r="W10" s="23">
        <f t="shared" si="1"/>
        <v>0.2535458333333333</v>
      </c>
      <c r="X10" s="23">
        <f>TRUNC(IF(OR([OPER/TIPO]="CV",[OPER/TIPO]="VV"),     K10*SETUP!$H$3,     0),2)</f>
        <v>0.03</v>
      </c>
      <c r="Y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0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0.13755083333333334</v>
      </c>
      <c r="AA10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0.2535458333333333</v>
      </c>
      <c r="AB10" s="23">
        <f>IF(AND([MED CP]&gt;0,[MED VD]&gt;0),([MED VD]-[MED CP])*[QTDE],0)</f>
        <v>278.38799999999992</v>
      </c>
      <c r="AC10" s="23">
        <f>SUMPRODUCT(N([DATA BASE]=NC[[#This Row],[DATA BASE]]),    N(['[D/N']]="N"),    [LUCRO])</f>
        <v>14.719999999999906</v>
      </c>
      <c r="AD10" s="23">
        <f>SUMPRODUCT(N([DATA BASE]=NC[[#This Row],[DATA BASE]]),    N(['[D/N']]="D"),    [LUCRO]) + SUMPRODUCT(N([DATA BASE]=NC[[#This Row],[DATA BASE]]),    [IRRF FONTE])</f>
        <v>478.50999999999988</v>
      </c>
      <c r="AE10" s="29">
        <f>IF([LUCRO MÊS NORMAL] &gt; 0,     ROUND([LUCRO MÊS NORMAL]*0.15,    2),    0)</f>
        <v>2.21</v>
      </c>
      <c r="AF10" s="28">
        <f>IF([LUCRO MÊS DAYTRADE] &gt; 0,     ROUND([LUCRO MÊS DAYTRADE]*0.2,    2)  -  SUMPRODUCT(N([DATA BASE]=NC[[#This Row],[DATA BASE]]),    [IRRF FONTE]),    0)</f>
        <v>90.914900000000003</v>
      </c>
      <c r="AG10" s="27">
        <f>IF([MED CP] = 0,    0,    [LUCRO] / ABS([QTDE] * [MED CP]))</f>
        <v>0.84328823889349969</v>
      </c>
    </row>
    <row r="11" spans="1:33">
      <c r="A11" s="21">
        <v>10</v>
      </c>
      <c r="B11" s="21" t="s">
        <v>64</v>
      </c>
      <c r="C11" s="21" t="s">
        <v>39</v>
      </c>
      <c r="D11" s="22">
        <v>40982</v>
      </c>
      <c r="E11" s="21">
        <v>800</v>
      </c>
      <c r="F11" s="23">
        <v>0.39</v>
      </c>
      <c r="G11" s="21" t="s">
        <v>7</v>
      </c>
      <c r="H11" s="22">
        <f>WORKDAY(NC[[#This Row],[DATA]],3,1)</f>
        <v>40987</v>
      </c>
      <c r="I11" s="31">
        <f>EOMONTH(NC[[#This Row],[DATA DE LIQUIDAÇÃO]],0)</f>
        <v>40999</v>
      </c>
      <c r="J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11" s="23">
        <f>[QTDE]*[PREÇO]</f>
        <v>312</v>
      </c>
      <c r="L11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0</v>
      </c>
      <c r="M11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0.25</v>
      </c>
      <c r="N11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O11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P11" s="23">
        <f>SETUP!$E$3*SUMPRODUCT(N([DATA]=NC[[#This Row],[DATA]]),N([ID]&lt;=NC[[#This Row],[ID]]))</f>
        <v>44.7</v>
      </c>
      <c r="Q11" s="23">
        <f>TRUNC([CORRETAGEM]*SETUP!$F$3,2)</f>
        <v>0.89</v>
      </c>
      <c r="R11" s="23">
        <f>ROUND([CORRETAGEM]*SETUP!$G$3,2)</f>
        <v>1.74</v>
      </c>
      <c r="S11" s="23">
        <f>[VALOR LÍQUIDO DAS OPERAÇÕES]-[TAXA DE LIQUIDAÇÃO]-[EMOLUMENTOS]-[TAXA DE REGISTRO]-[CORRETAGEM]-[ISS]-IF(['[D/N']]="D",    0,    [OUTRAS BOVESPA])</f>
        <v>-48.150000000000006</v>
      </c>
      <c r="T11" s="23">
        <f>IF(AND(['[D/N']]="D",    [OPER/TIPO]="CV"),    [LÍQUIDO BASE]*0.01,    0)</f>
        <v>0</v>
      </c>
      <c r="U11" s="23">
        <f>[LÍQUIDO BASE]-SUMPRODUCT(N([DATA]=NC[[#This Row],[DATA]]),    [IRRF FONTE])</f>
        <v>-50.962000000000003</v>
      </c>
      <c r="V11" s="23">
        <f>[LÍQUIDO]-SUMPRODUCT(N([DATA]=NC[[#This Row],[DATA]]),N([ID]=(NC[[#This Row],[ID]]-1)),[LÍQUIDO])</f>
        <v>-329.34999999999997</v>
      </c>
      <c r="W11" s="23">
        <f t="shared" si="1"/>
        <v>0.41168749999999998</v>
      </c>
      <c r="X11" s="23">
        <f>TRUNC(IF(OR([OPER/TIPO]="CV",[OPER/TIPO]="VV"),     K11*SETUP!$H$3,     0),2)</f>
        <v>0</v>
      </c>
      <c r="Y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800</v>
      </c>
      <c r="Z11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0.41168749999999998</v>
      </c>
      <c r="AA11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11" s="23">
        <f>IF(AND([MED CP]&gt;0,[MED VD]&gt;0),([MED VD]-[MED CP])*[QTDE],0)</f>
        <v>0</v>
      </c>
      <c r="AC11" s="23">
        <f>SUMPRODUCT(N([DATA BASE]=NC[[#This Row],[DATA BASE]]),    N(['[D/N']]="N"),    [LUCRO])</f>
        <v>14.719999999999906</v>
      </c>
      <c r="AD11" s="23">
        <f>SUMPRODUCT(N([DATA BASE]=NC[[#This Row],[DATA BASE]]),    N(['[D/N']]="D"),    [LUCRO]) + SUMPRODUCT(N([DATA BASE]=NC[[#This Row],[DATA BASE]]),    [IRRF FONTE])</f>
        <v>478.50999999999988</v>
      </c>
      <c r="AE11" s="28">
        <f>IF([LUCRO MÊS NORMAL] &gt; 0,     ROUND([LUCRO MÊS NORMAL]*0.15,    2),    0)</f>
        <v>2.21</v>
      </c>
      <c r="AF11" s="28">
        <f>IF([LUCRO MÊS DAYTRADE] &gt; 0,     ROUND([LUCRO MÊS DAYTRADE]*0.2,    2)  -  SUMPRODUCT(N([DATA BASE]=NC[[#This Row],[DATA BASE]]),    [IRRF FONTE]),    0)</f>
        <v>90.914900000000003</v>
      </c>
      <c r="AG11" s="27">
        <f>IF([MED CP] = 0,    0,    [LUCRO] / ABS([QTDE] * [MED CP]))</f>
        <v>0</v>
      </c>
    </row>
    <row r="12" spans="1:33">
      <c r="A12" s="21">
        <v>11</v>
      </c>
      <c r="B12" s="21" t="s">
        <v>66</v>
      </c>
      <c r="C12" s="21" t="s">
        <v>39</v>
      </c>
      <c r="D12" s="22">
        <v>40983</v>
      </c>
      <c r="E12" s="21">
        <v>500</v>
      </c>
      <c r="F12" s="23">
        <v>0.72</v>
      </c>
      <c r="G12" s="21" t="s">
        <v>7</v>
      </c>
      <c r="H12" s="22">
        <f>WORKDAY(NC[[#This Row],[DATA]],3,1)</f>
        <v>40988</v>
      </c>
      <c r="I12" s="31">
        <f>EOMONTH(NC[[#This Row],[DATA DE LIQUIDAÇÃO]],0)</f>
        <v>40999</v>
      </c>
      <c r="J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12" s="23">
        <f>[QTDE]*[PREÇO]</f>
        <v>360</v>
      </c>
      <c r="L12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-360</v>
      </c>
      <c r="M12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0.09</v>
      </c>
      <c r="N12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O12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P12" s="23">
        <f>SETUP!$E$3*SUMPRODUCT(N([DATA]=NC[[#This Row],[DATA]]),N([ID]&lt;=NC[[#This Row],[ID]]))</f>
        <v>14.9</v>
      </c>
      <c r="Q12" s="23">
        <f>TRUNC([CORRETAGEM]*SETUP!$F$3,2)</f>
        <v>0.28999999999999998</v>
      </c>
      <c r="R12" s="23">
        <f>ROUND([CORRETAGEM]*SETUP!$G$3,2)</f>
        <v>0.57999999999999996</v>
      </c>
      <c r="S12" s="23">
        <f>[VALOR LÍQUIDO DAS OPERAÇÕES]-[TAXA DE LIQUIDAÇÃO]-[EMOLUMENTOS]-[TAXA DE REGISTRO]-[CORRETAGEM]-[ISS]-IF(['[D/N']]="D",    0,    [OUTRAS BOVESPA])</f>
        <v>-376.23999999999995</v>
      </c>
      <c r="T12" s="23">
        <f>IF(AND(['[D/N']]="D",    [OPER/TIPO]="CV"),    [LÍQUIDO BASE]*0.01,    0)</f>
        <v>0</v>
      </c>
      <c r="U12" s="23">
        <f>[LÍQUIDO BASE]-SUMPRODUCT(N([DATA]=NC[[#This Row],[DATA]]),    [IRRF FONTE])</f>
        <v>-376.23999999999995</v>
      </c>
      <c r="V12" s="23">
        <f>[LÍQUIDO]-SUMPRODUCT(N([DATA]=NC[[#This Row],[DATA]]),N([ID]=(NC[[#This Row],[ID]]-1)),[LÍQUIDO])</f>
        <v>-376.23999999999995</v>
      </c>
      <c r="W12" s="23">
        <f t="shared" si="1"/>
        <v>0.75247999999999993</v>
      </c>
      <c r="X12" s="23">
        <f>TRUNC(IF(OR([OPER/TIPO]="CV",[OPER/TIPO]="VV"),     K12*SETUP!$H$3,     0),2)</f>
        <v>0</v>
      </c>
      <c r="Y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12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0.75247999999999993</v>
      </c>
      <c r="AA12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</v>
      </c>
      <c r="AB12" s="23">
        <f>IF(AND([MED CP]&gt;0,[MED VD]&gt;0),([MED VD]-[MED CP])*[QTDE],0)</f>
        <v>0</v>
      </c>
      <c r="AC12" s="23">
        <f>SUMPRODUCT(N([DATA BASE]=NC[[#This Row],[DATA BASE]]),    N(['[D/N']]="N"),    [LUCRO])</f>
        <v>14.719999999999906</v>
      </c>
      <c r="AD12" s="23">
        <f>SUMPRODUCT(N([DATA BASE]=NC[[#This Row],[DATA BASE]]),    N(['[D/N']]="D"),    [LUCRO]) + SUMPRODUCT(N([DATA BASE]=NC[[#This Row],[DATA BASE]]),    [IRRF FONTE])</f>
        <v>478.50999999999988</v>
      </c>
      <c r="AE12" s="29">
        <f>IF([LUCRO MÊS NORMAL] &gt; 0,     ROUND([LUCRO MÊS NORMAL]*0.15,    2),    0)</f>
        <v>2.21</v>
      </c>
      <c r="AF12" s="29">
        <f>IF([LUCRO MÊS DAYTRADE] &gt; 0,     ROUND([LUCRO MÊS DAYTRADE]*0.2,    2)  -  SUMPRODUCT(N([DATA BASE]=NC[[#This Row],[DATA BASE]]),    [IRRF FONTE]),    0)</f>
        <v>90.914900000000003</v>
      </c>
      <c r="AG12" s="32">
        <f>IF([MED CP] = 0,    0,    [LUCRO] / ABS([QTDE] * [MED CP]))</f>
        <v>0</v>
      </c>
    </row>
    <row r="13" spans="1:33">
      <c r="A13" s="21">
        <v>12</v>
      </c>
      <c r="B13" s="21" t="s">
        <v>64</v>
      </c>
      <c r="C13" s="21" t="s">
        <v>40</v>
      </c>
      <c r="D13" s="22">
        <v>40984</v>
      </c>
      <c r="E13" s="21">
        <v>800</v>
      </c>
      <c r="F13" s="23">
        <v>0.21</v>
      </c>
      <c r="G13" s="21" t="s">
        <v>7</v>
      </c>
      <c r="H13" s="22">
        <f>WORKDAY(NC[[#This Row],[DATA]],3,1)</f>
        <v>40989</v>
      </c>
      <c r="I13" s="31">
        <f>EOMONTH(NC[[#This Row],[DATA DE LIQUIDAÇÃO]],0)</f>
        <v>40999</v>
      </c>
      <c r="J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13" s="23">
        <f>[QTDE]*[PREÇO]</f>
        <v>168</v>
      </c>
      <c r="L13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168</v>
      </c>
      <c r="M13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0.04</v>
      </c>
      <c r="N13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O13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P13" s="23">
        <f>SETUP!$E$3*SUMPRODUCT(N([DATA]=NC[[#This Row],[DATA]]),N([ID]&lt;=NC[[#This Row],[ID]]))</f>
        <v>14.9</v>
      </c>
      <c r="Q13" s="23">
        <f>TRUNC([CORRETAGEM]*SETUP!$F$3,2)</f>
        <v>0.28999999999999998</v>
      </c>
      <c r="R13" s="23">
        <f>ROUND([CORRETAGEM]*SETUP!$G$3,2)</f>
        <v>0.57999999999999996</v>
      </c>
      <c r="S13" s="23">
        <f>[VALOR LÍQUIDO DAS OPERAÇÕES]-[TAXA DE LIQUIDAÇÃO]-[EMOLUMENTOS]-[TAXA DE REGISTRO]-[CORRETAGEM]-[ISS]-IF(['[D/N']]="D",    0,    [OUTRAS BOVESPA])</f>
        <v>152.01999999999998</v>
      </c>
      <c r="T13" s="23">
        <f>IF(AND(['[D/N']]="D",    [OPER/TIPO]="CV"),    [LÍQUIDO BASE]*0.01,    0)</f>
        <v>0</v>
      </c>
      <c r="U13" s="23">
        <f>[LÍQUIDO BASE]-SUMPRODUCT(N([DATA]=NC[[#This Row],[DATA]]),    [IRRF FONTE])</f>
        <v>152.01999999999998</v>
      </c>
      <c r="V13" s="29">
        <f>[LÍQUIDO]-SUMPRODUCT(N([DATA]=NC[[#This Row],[DATA]]),N([ID]=(NC[[#This Row],[ID]]-1)),[LÍQUIDO])</f>
        <v>152.01999999999998</v>
      </c>
      <c r="W13" s="23">
        <f t="shared" si="1"/>
        <v>0.19002499999999997</v>
      </c>
      <c r="X13" s="23">
        <f>TRUNC(IF(OR([OPER/TIPO]="CV",[OPER/TIPO]="VV"),     K13*SETUP!$H$3,     0),2)</f>
        <v>0</v>
      </c>
      <c r="Y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3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0.41168749999999998</v>
      </c>
      <c r="AA13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0.19002499999999997</v>
      </c>
      <c r="AB13" s="23">
        <f>IF(AND([MED CP]&gt;0,[MED VD]&gt;0),([MED VD]-[MED CP])*[QTDE],0)</f>
        <v>-177.33</v>
      </c>
      <c r="AC13" s="23">
        <f>SUMPRODUCT(N([DATA BASE]=NC[[#This Row],[DATA BASE]]),    N(['[D/N']]="N"),    [LUCRO])</f>
        <v>14.719999999999906</v>
      </c>
      <c r="AD13" s="23">
        <f>SUMPRODUCT(N([DATA BASE]=NC[[#This Row],[DATA BASE]]),    N(['[D/N']]="D"),    [LUCRO]) + SUMPRODUCT(N([DATA BASE]=NC[[#This Row],[DATA BASE]]),    [IRRF FONTE])</f>
        <v>478.50999999999988</v>
      </c>
      <c r="AE13" s="29">
        <f>IF([LUCRO MÊS NORMAL] &gt; 0,     ROUND([LUCRO MÊS NORMAL]*0.15,    2),    0)</f>
        <v>2.21</v>
      </c>
      <c r="AF13" s="29">
        <f>IF([LUCRO MÊS DAYTRADE] &gt; 0,     ROUND([LUCRO MÊS DAYTRADE]*0.2,    2)  -  SUMPRODUCT(N([DATA BASE]=NC[[#This Row],[DATA BASE]]),    [IRRF FONTE]),    0)</f>
        <v>90.914900000000003</v>
      </c>
      <c r="AG13" s="32">
        <f>IF([MED CP] = 0,    0,    [LUCRO] / ABS([QTDE] * [MED CP]))</f>
        <v>-0.53842416881736765</v>
      </c>
    </row>
    <row r="14" spans="1:33">
      <c r="A14" s="21">
        <v>13</v>
      </c>
      <c r="B14" s="21" t="s">
        <v>66</v>
      </c>
      <c r="C14" s="21" t="s">
        <v>40</v>
      </c>
      <c r="D14" s="22">
        <v>40984</v>
      </c>
      <c r="E14" s="21">
        <v>500</v>
      </c>
      <c r="F14" s="23">
        <v>0.64</v>
      </c>
      <c r="G14" s="21" t="s">
        <v>7</v>
      </c>
      <c r="H14" s="22">
        <f>WORKDAY(NC[[#This Row],[DATA]],3,1)</f>
        <v>40989</v>
      </c>
      <c r="I14" s="31">
        <f>EOMONTH(NC[[#This Row],[DATA DE LIQUIDAÇÃO]],0)</f>
        <v>40999</v>
      </c>
      <c r="J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14" s="23">
        <f>[QTDE]*[PREÇO]</f>
        <v>320</v>
      </c>
      <c r="L14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488</v>
      </c>
      <c r="M14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0.13</v>
      </c>
      <c r="N14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O14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P14" s="23">
        <f>SETUP!$E$3*SUMPRODUCT(N([DATA]=NC[[#This Row],[DATA]]),N([ID]&lt;=NC[[#This Row],[ID]]))</f>
        <v>29.8</v>
      </c>
      <c r="Q14" s="23">
        <f>TRUNC([CORRETAGEM]*SETUP!$F$3,2)</f>
        <v>0.59</v>
      </c>
      <c r="R14" s="23">
        <f>ROUND([CORRETAGEM]*SETUP!$G$3,2)</f>
        <v>1.1599999999999999</v>
      </c>
      <c r="S14" s="23">
        <f>[VALOR LÍQUIDO DAS OPERAÇÕES]-[TAXA DE LIQUIDAÇÃO]-[EMOLUMENTOS]-[TAXA DE REGISTRO]-[CORRETAGEM]-[ISS]-IF(['[D/N']]="D",    0,    [OUTRAS BOVESPA])</f>
        <v>455.81</v>
      </c>
      <c r="T14" s="23">
        <f>IF(AND(['[D/N']]="D",    [OPER/TIPO]="CV"),    [LÍQUIDO BASE]*0.01,    0)</f>
        <v>0</v>
      </c>
      <c r="U14" s="23">
        <f>[LÍQUIDO BASE]-SUMPRODUCT(N([DATA]=NC[[#This Row],[DATA]]),    [IRRF FONTE])</f>
        <v>455.81</v>
      </c>
      <c r="V14" s="29">
        <f>[LÍQUIDO]-SUMPRODUCT(N([DATA]=NC[[#This Row],[DATA]]),N([ID]=(NC[[#This Row],[ID]]-1)),[LÍQUIDO])</f>
        <v>303.79000000000002</v>
      </c>
      <c r="W14" s="23">
        <f t="shared" si="1"/>
        <v>0.60758000000000001</v>
      </c>
      <c r="X14" s="23">
        <f>TRUNC(IF(OR([OPER/TIPO]="CV",[OPER/TIPO]="VV"),     K14*SETUP!$H$3,     0),2)</f>
        <v>0.01</v>
      </c>
      <c r="Y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4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0.75247999999999993</v>
      </c>
      <c r="AA14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0.60758000000000001</v>
      </c>
      <c r="AB14" s="23">
        <f>IF(AND([MED CP]&gt;0,[MED VD]&gt;0),([MED VD]-[MED CP])*[QTDE],0)</f>
        <v>-72.44999999999996</v>
      </c>
      <c r="AC14" s="23">
        <f>SUMPRODUCT(N([DATA BASE]=NC[[#This Row],[DATA BASE]]),    N(['[D/N']]="N"),    [LUCRO])</f>
        <v>14.719999999999906</v>
      </c>
      <c r="AD14" s="23">
        <f>SUMPRODUCT(N([DATA BASE]=NC[[#This Row],[DATA BASE]]),    N(['[D/N']]="D"),    [LUCRO]) + SUMPRODUCT(N([DATA BASE]=NC[[#This Row],[DATA BASE]]),    [IRRF FONTE])</f>
        <v>478.50999999999988</v>
      </c>
      <c r="AE14" s="29">
        <f>IF([LUCRO MÊS NORMAL] &gt; 0,     ROUND([LUCRO MÊS NORMAL]*0.15,    2),    0)</f>
        <v>2.21</v>
      </c>
      <c r="AF14" s="29">
        <f>IF([LUCRO MÊS DAYTRADE] &gt; 0,     ROUND([LUCRO MÊS DAYTRADE]*0.2,    2)  -  SUMPRODUCT(N([DATA BASE]=NC[[#This Row],[DATA BASE]]),    [IRRF FONTE]),    0)</f>
        <v>90.914900000000003</v>
      </c>
      <c r="AG14" s="32">
        <f>IF([MED CP] = 0,    0,    [LUCRO] / ABS([QTDE] * [MED CP]))</f>
        <v>-0.19256325749521574</v>
      </c>
    </row>
    <row r="15" spans="1:33">
      <c r="A15" s="21">
        <v>14</v>
      </c>
      <c r="B15" s="21" t="s">
        <v>46</v>
      </c>
      <c r="C15" s="21" t="s">
        <v>40</v>
      </c>
      <c r="D15" s="22">
        <v>40984</v>
      </c>
      <c r="E15" s="21">
        <v>100</v>
      </c>
      <c r="F15" s="23">
        <v>1.06</v>
      </c>
      <c r="G15" s="21" t="s">
        <v>7</v>
      </c>
      <c r="H15" s="22">
        <f>WORKDAY(NC[[#This Row],[DATA]],3,1)</f>
        <v>40989</v>
      </c>
      <c r="I15" s="31">
        <f>EOMONTH(NC[[#This Row],[DATA DE LIQUIDAÇÃO]],0)</f>
        <v>40999</v>
      </c>
      <c r="J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K15" s="23">
        <f>[QTDE]*[PREÇO]</f>
        <v>106</v>
      </c>
      <c r="L15" s="23">
        <f>(SUMPRODUCT(N([DATA]=NC[[#This Row],[DATA]]),N([ID]&lt;=NC[[#This Row],[ID]]),N([OPER/TIPO]="CV"),[VALOR DAS OPERAÇÕES])  +  SUMPRODUCT(N([DATA]=NC[[#This Row],[DATA]]),N([ID]&lt;=NC[[#This Row],[ID]]),N([OPER/TIPO]="VV"),[VALOR DAS OPERAÇÕES]) )  -  (SUMPRODUCT(N([DATA]=NC[[#This Row],[DATA]]),N([ID]&lt;=NC[[#This Row],[ID]]),N([OPER/TIPO]="CC"),[VALOR DAS OPERAÇÕES])  +  SUMPRODUCT(N([DATA]=NC[[#This Row],[DATA]]),N([ID]&lt;=NC[[#This Row],[ID]]),N([OPER/TIPO]="VC"),[VALOR DAS OPERAÇÕES]))</f>
        <v>594</v>
      </c>
      <c r="M15" s="23">
        <f>TRUNC(SUMPRODUCT(N([DATA]=NC[[#This Row],[DATA]]),N([ID]&lt;=NC[[#This Row],[ID]]),N(['[D/N']]="N"),[VALOR DAS OPERAÇÕES]*SETUP!$B$7)  +  SUMPRODUCT(N([DATA]=NC[[#This Row],[DATA]]),N([ID]&lt;=NC[[#This Row],[ID]]),N(['[D/N']]="D"),[VALOR DAS OPERAÇÕES]*SETUP!$E$7),    2)</f>
        <v>0.16</v>
      </c>
      <c r="N15" s="2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O15" s="2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P15" s="23">
        <f>SETUP!$E$3*SUMPRODUCT(N([DATA]=NC[[#This Row],[DATA]]),N([ID]&lt;=NC[[#This Row],[ID]]))</f>
        <v>44.7</v>
      </c>
      <c r="Q15" s="23">
        <f>TRUNC([CORRETAGEM]*SETUP!$F$3,2)</f>
        <v>0.89</v>
      </c>
      <c r="R15" s="23">
        <f>ROUND([CORRETAGEM]*SETUP!$G$3,2)</f>
        <v>1.74</v>
      </c>
      <c r="S15" s="23">
        <f>[VALOR LÍQUIDO DAS OPERAÇÕES]-[TAXA DE LIQUIDAÇÃO]-[EMOLUMENTOS]-[TAXA DE REGISTRO]-[CORRETAGEM]-[ISS]-IF(['[D/N']]="D",    0,    [OUTRAS BOVESPA])</f>
        <v>545.89</v>
      </c>
      <c r="T15" s="23">
        <f>IF(AND(['[D/N']]="D",    [OPER/TIPO]="CV"),    [LÍQUIDO BASE]*0.01,    0)</f>
        <v>0</v>
      </c>
      <c r="U15" s="23">
        <f>[LÍQUIDO BASE]-SUMPRODUCT(N([DATA]=NC[[#This Row],[DATA]]),    [IRRF FONTE])</f>
        <v>545.89</v>
      </c>
      <c r="V15" s="29">
        <f>[LÍQUIDO]-SUMPRODUCT(N([DATA]=NC[[#This Row],[DATA]]),N([ID]=(NC[[#This Row],[ID]]-1)),[LÍQUIDO])</f>
        <v>90.079999999999984</v>
      </c>
      <c r="W15" s="23">
        <f>ABS(V15)/E15</f>
        <v>0.90079999999999982</v>
      </c>
      <c r="X15" s="23">
        <f>TRUNC(IF(OR([OPER/TIPO]="CV",[OPER/TIPO]="VV"),     K15*SETUP!$H$3,     0),2)</f>
        <v>0</v>
      </c>
      <c r="Y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15" s="24">
        <f>IF(['[D/N']]="D",      IF(OR([OPER/TIPO]="CC",[OPER/TIPO]="CV"),     ABS(SUMPRODUCT(N([ATIVO]=NC[[#This Row],[ATIVO]]),N([OPER/TIPO]="CC"),N(['[D/N']]="D"),N([ID]&lt;=NC[[#This Row],[ID]]),N([PAR]=NC[[#This Row],[PAR]]),[VALOR P/ OP]))  /  SUMPRODUCT(N([ATIVO]=NC[[#This Row],[ATIVO]]),N([OPER/TIPO]="CC"),N(['[D/N']]="D"),N([ID]&lt;=NC[[#This Row],[ID]]),N([PAR]=NC[[#This Row],[PAR]]),[QTDE]),     IF([OPER/TIPO]="VC",[MEDIO P/ OP],0)),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 P/ OP],0)))</f>
        <v>0.87989999999999957</v>
      </c>
      <c r="AA15" s="24">
        <f>IF(['[D/N']]="D",     IF(OR([OPER/TIPO]="VV",[OPER/TIPO]="VC"),     ABS(SUMPRODUCT(N([ATIVO]=NC[[#This Row],[ATIVO]]),N([OPER/TIPO]="VV"),N(['[D/N']]="D"),N([ID]&lt;=NC[[#This Row],[ID]]),N([PAR]=NC[[#This Row],[PAR]]),[VALOR P/ OP]))  /  SUMPRODUCT(N([ATIVO]=NC[[#This Row],[ATIVO]]),N([OPER/TIPO]="VV"),N(['[D/N']]="D"),N([ID]&lt;=NC[[#This Row],[ID]]),N([PAR]=NC[[#This Row],[PAR]]),[QTDE]),     IF([OPER/TIPO]="CV",[MEDIO P/ OP],0)),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 P/ OP],0)))</f>
        <v>0.90079999999999982</v>
      </c>
      <c r="AB15" s="23">
        <f>IF(AND([MED CP]&gt;0,[MED VD]&gt;0),([MED VD]-[MED CP])*[QTDE],0)</f>
        <v>2.0900000000000252</v>
      </c>
      <c r="AC15" s="23">
        <f>SUMPRODUCT(N([DATA BASE]=NC[[#This Row],[DATA BASE]]),    N(['[D/N']]="N"),    [LUCRO])</f>
        <v>14.719999999999906</v>
      </c>
      <c r="AD15" s="23">
        <f>SUMPRODUCT(N([DATA BASE]=NC[[#This Row],[DATA BASE]]),    N(['[D/N']]="D"),    [LUCRO]) + SUMPRODUCT(N([DATA BASE]=NC[[#This Row],[DATA BASE]]),    [IRRF FONTE])</f>
        <v>478.50999999999988</v>
      </c>
      <c r="AE15" s="29">
        <f>IF([LUCRO MÊS NORMAL] &gt; 0,     ROUND([LUCRO MÊS NORMAL]*0.15,    2),    0)</f>
        <v>2.21</v>
      </c>
      <c r="AF15" s="29">
        <f>IF([LUCRO MÊS DAYTRADE] &gt; 0,     ROUND([LUCRO MÊS DAYTRADE]*0.2,    2)  -  SUMPRODUCT(N([DATA BASE]=NC[[#This Row],[DATA BASE]]),    [IRRF FONTE]),    0)</f>
        <v>90.914900000000003</v>
      </c>
      <c r="AG15" s="32">
        <f>IF([MED CP] = 0,    0,    [LUCRO] / ABS([QTDE] * [MED CP]))</f>
        <v>2.3752699170360568E-2</v>
      </c>
    </row>
    <row r="16" spans="1:33">
      <c r="A16" s="36">
        <f>SUBTOTAL(104,[ID])</f>
        <v>14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23"/>
      <c r="T16" s="36"/>
      <c r="U16" s="23">
        <f>119.16+86.11+92.33+179.97</f>
        <v>477.56999999999994</v>
      </c>
      <c r="V16" s="23">
        <f>380</f>
        <v>380</v>
      </c>
      <c r="W16" s="36"/>
      <c r="X16" s="23">
        <f>SUBTOTAL(109,[IRRF])</f>
        <v>0.08</v>
      </c>
      <c r="Y16" s="23"/>
      <c r="Z16" s="36"/>
      <c r="AA16" s="36"/>
      <c r="AB16" s="23">
        <f>SUBTOTAL(109,[LUCRO])</f>
        <v>488.44489999999985</v>
      </c>
      <c r="AC16" s="37">
        <f>SUMPRODUCT(N([ID]=NC[[#Totals],[ID]]),[IRRF NORMAL] + [IRRF DAYTRADE])</f>
        <v>93.124899999999997</v>
      </c>
      <c r="AD16" s="37">
        <f>NC[[#Totals],[LUCRO MÊS NORMAL]]+8.9</f>
        <v>102.0249</v>
      </c>
      <c r="AE16" s="23">
        <f>NC[[#Totals],[LUCRO]]-NC[[#Totals],[LUCRO MÊS DAYTRADE]]</f>
        <v>386.41999999999985</v>
      </c>
      <c r="AF16" s="23">
        <f>ROUND(NC[[#Totals],[IRRF NORMAL]] * 0.8,    2) - NC[[#Totals],[LÍQUIDO]]</f>
        <v>-168.42999999999995</v>
      </c>
      <c r="AG16" s="38">
        <f>NC[[#Totals],[VALOR P/ OP]] + NC[[#Totals],[IRRF NORMAL]] - NC[[#Totals],[LÍQUIDO]]</f>
        <v>288.84999999999991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B7" sqref="B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35" t="s">
        <v>9</v>
      </c>
      <c r="B1" s="35"/>
      <c r="C1" s="35" t="s">
        <v>10</v>
      </c>
      <c r="D1" s="35"/>
      <c r="E1" s="34" t="s">
        <v>11</v>
      </c>
      <c r="F1" s="34" t="s">
        <v>4</v>
      </c>
      <c r="G1" s="34" t="s">
        <v>12</v>
      </c>
      <c r="H1" s="34" t="s">
        <v>13</v>
      </c>
      <c r="I1" s="34" t="s">
        <v>37</v>
      </c>
    </row>
    <row r="2" spans="1:9">
      <c r="A2" s="3" t="s">
        <v>14</v>
      </c>
      <c r="B2" s="3" t="s">
        <v>15</v>
      </c>
      <c r="C2" s="3" t="s">
        <v>14</v>
      </c>
      <c r="D2" s="3" t="s">
        <v>15</v>
      </c>
      <c r="E2" s="34"/>
      <c r="F2" s="34"/>
      <c r="G2" s="34"/>
      <c r="H2" s="34"/>
      <c r="I2" s="34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>
      <c r="A4" s="33" t="s">
        <v>41</v>
      </c>
      <c r="B4" s="33"/>
      <c r="C4" s="33"/>
      <c r="D4" s="33"/>
      <c r="E4" s="33"/>
      <c r="F4" s="33"/>
    </row>
    <row r="5" spans="1:9">
      <c r="A5" s="33" t="s">
        <v>9</v>
      </c>
      <c r="B5" s="33"/>
      <c r="C5" s="33"/>
      <c r="D5" s="33" t="s">
        <v>10</v>
      </c>
      <c r="E5" s="33"/>
      <c r="F5" s="33"/>
    </row>
    <row r="6" spans="1:9">
      <c r="A6" s="26" t="s">
        <v>14</v>
      </c>
      <c r="B6" s="26" t="s">
        <v>15</v>
      </c>
      <c r="C6" s="26" t="s">
        <v>42</v>
      </c>
      <c r="D6" s="26" t="s">
        <v>14</v>
      </c>
      <c r="E6" s="26" t="s">
        <v>15</v>
      </c>
      <c r="F6" s="26" t="s">
        <v>42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2012-03-16T18:44:17Z</dcterms:modified>
</cp:coreProperties>
</file>