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I49" i="1"/>
  <c r="J49"/>
  <c r="L49"/>
  <c r="Q49"/>
  <c r="R49"/>
  <c r="S49"/>
  <c r="W49"/>
  <c r="X49"/>
  <c r="AB49"/>
  <c r="I48"/>
  <c r="J48"/>
  <c r="L48"/>
  <c r="Q48"/>
  <c r="R48"/>
  <c r="S48"/>
  <c r="W48"/>
  <c r="X48"/>
  <c r="AB48"/>
  <c r="I47"/>
  <c r="J47"/>
  <c r="L47"/>
  <c r="Q47"/>
  <c r="R47"/>
  <c r="S47"/>
  <c r="W47"/>
  <c r="X47"/>
  <c r="AB47"/>
  <c r="I46"/>
  <c r="J46"/>
  <c r="L46"/>
  <c r="Q46"/>
  <c r="R46"/>
  <c r="S46"/>
  <c r="W46"/>
  <c r="X46"/>
  <c r="AB46"/>
  <c r="I45"/>
  <c r="J45"/>
  <c r="L45"/>
  <c r="Q45"/>
  <c r="R45"/>
  <c r="S45"/>
  <c r="W45"/>
  <c r="X45"/>
  <c r="AB45"/>
  <c r="I44"/>
  <c r="J44"/>
  <c r="L44"/>
  <c r="Q44"/>
  <c r="R44"/>
  <c r="S44"/>
  <c r="W44"/>
  <c r="X44"/>
  <c r="AB44"/>
  <c r="I43"/>
  <c r="J43"/>
  <c r="L43"/>
  <c r="Q43"/>
  <c r="R43"/>
  <c r="S43"/>
  <c r="W43"/>
  <c r="X43"/>
  <c r="Y43"/>
  <c r="AB43"/>
  <c r="AA5"/>
  <c r="AA37"/>
  <c r="AA41"/>
  <c r="I42"/>
  <c r="J42"/>
  <c r="L42"/>
  <c r="Q42"/>
  <c r="R42"/>
  <c r="S42"/>
  <c r="W42"/>
  <c r="X42"/>
  <c r="AB42"/>
  <c r="I41"/>
  <c r="J41"/>
  <c r="L41"/>
  <c r="Q41"/>
  <c r="R41"/>
  <c r="S41"/>
  <c r="W41"/>
  <c r="X41"/>
  <c r="Y41"/>
  <c r="AB41"/>
  <c r="I40" l="1"/>
  <c r="J40"/>
  <c r="L40"/>
  <c r="Q40"/>
  <c r="R40"/>
  <c r="S40"/>
  <c r="W40"/>
  <c r="X40"/>
  <c r="AB40"/>
  <c r="I39"/>
  <c r="J39"/>
  <c r="L39"/>
  <c r="Q39"/>
  <c r="R39"/>
  <c r="S39"/>
  <c r="W39"/>
  <c r="X39"/>
  <c r="Y39"/>
  <c r="AB39"/>
  <c r="I38" l="1"/>
  <c r="J38"/>
  <c r="L38"/>
  <c r="Q38"/>
  <c r="R38"/>
  <c r="S38"/>
  <c r="W38"/>
  <c r="X38"/>
  <c r="AB38"/>
  <c r="I37"/>
  <c r="J37"/>
  <c r="L37"/>
  <c r="Q37"/>
  <c r="R37"/>
  <c r="S37"/>
  <c r="W37"/>
  <c r="X37"/>
  <c r="Z37"/>
  <c r="AB37"/>
  <c r="I36" l="1"/>
  <c r="L36"/>
  <c r="W36" s="1"/>
  <c r="Q36"/>
  <c r="R36" s="1"/>
  <c r="S36"/>
  <c r="X36"/>
  <c r="AB36"/>
  <c r="I35"/>
  <c r="L35"/>
  <c r="Q35"/>
  <c r="R35" s="1"/>
  <c r="W35"/>
  <c r="X35"/>
  <c r="AB35"/>
  <c r="J35" l="1"/>
  <c r="J36"/>
  <c r="S35"/>
  <c r="I34" l="1"/>
  <c r="L34"/>
  <c r="W34" s="1"/>
  <c r="Q34"/>
  <c r="S34" s="1"/>
  <c r="X34"/>
  <c r="Y34"/>
  <c r="AB34"/>
  <c r="I33"/>
  <c r="L33"/>
  <c r="Q33"/>
  <c r="S33" s="1"/>
  <c r="W33"/>
  <c r="X33"/>
  <c r="AB33"/>
  <c r="J33" l="1"/>
  <c r="J34"/>
  <c r="R33"/>
  <c r="R3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J32" l="1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Z2"/>
  <c r="Z3"/>
  <c r="Z5"/>
  <c r="Z6"/>
  <c r="Z7"/>
  <c r="Z9"/>
  <c r="Z12"/>
  <c r="Z15"/>
  <c r="Z18"/>
  <c r="Z21"/>
  <c r="Z22"/>
  <c r="Z24"/>
  <c r="Z29"/>
  <c r="Z30"/>
  <c r="Y5"/>
  <c r="Y6"/>
  <c r="Y8"/>
  <c r="Y13"/>
  <c r="Y32"/>
  <c r="X2"/>
  <c r="W2"/>
  <c r="W3"/>
  <c r="W5"/>
  <c r="W7"/>
  <c r="W9"/>
  <c r="W12"/>
  <c r="W15"/>
  <c r="W17"/>
  <c r="W18"/>
  <c r="W19"/>
  <c r="W21"/>
  <c r="W22"/>
  <c r="W24"/>
  <c r="W29"/>
  <c r="W30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K49" l="1"/>
  <c r="K48"/>
  <c r="K47"/>
  <c r="K46"/>
  <c r="K45"/>
  <c r="K44"/>
  <c r="K43"/>
  <c r="K42"/>
  <c r="K41"/>
  <c r="K40"/>
  <c r="K39"/>
  <c r="K38"/>
  <c r="K37"/>
  <c r="K36"/>
  <c r="K35"/>
  <c r="K34"/>
  <c r="K33"/>
  <c r="K2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L32"/>
  <c r="W32" s="1"/>
  <c r="Q32"/>
  <c r="R32" s="1"/>
  <c r="S32" l="1"/>
  <c r="L31"/>
  <c r="W31" s="1"/>
  <c r="Q31"/>
  <c r="R31" l="1"/>
  <c r="S31"/>
  <c r="Q2" l="1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L2"/>
  <c r="L3"/>
  <c r="L4"/>
  <c r="W4" s="1"/>
  <c r="L5"/>
  <c r="L6"/>
  <c r="W6" s="1"/>
  <c r="L7"/>
  <c r="L8"/>
  <c r="W8" s="1"/>
  <c r="L9"/>
  <c r="L10"/>
  <c r="W10" s="1"/>
  <c r="L11"/>
  <c r="W11" s="1"/>
  <c r="L12"/>
  <c r="L13"/>
  <c r="W13" s="1"/>
  <c r="L14"/>
  <c r="W14" s="1"/>
  <c r="L15"/>
  <c r="L16"/>
  <c r="W16" s="1"/>
  <c r="L17"/>
  <c r="L18"/>
  <c r="L19"/>
  <c r="L20"/>
  <c r="W20" s="1"/>
  <c r="L21"/>
  <c r="L22"/>
  <c r="L23"/>
  <c r="W23" s="1"/>
  <c r="L24"/>
  <c r="L25"/>
  <c r="W25" s="1"/>
  <c r="L26"/>
  <c r="W26" s="1"/>
  <c r="L27"/>
  <c r="W27" s="1"/>
  <c r="L28"/>
  <c r="W28" s="1"/>
  <c r="L29"/>
  <c r="L30"/>
  <c r="M49" l="1"/>
  <c r="N49"/>
  <c r="O49"/>
  <c r="P49"/>
  <c r="AG49"/>
  <c r="M48"/>
  <c r="N48"/>
  <c r="O48"/>
  <c r="P48"/>
  <c r="AG48"/>
  <c r="M47"/>
  <c r="N47"/>
  <c r="O47"/>
  <c r="P47"/>
  <c r="AG47"/>
  <c r="M46"/>
  <c r="N46"/>
  <c r="O46"/>
  <c r="P46"/>
  <c r="AG46"/>
  <c r="M45"/>
  <c r="N45"/>
  <c r="O45"/>
  <c r="P45"/>
  <c r="AG45"/>
  <c r="M44"/>
  <c r="N44"/>
  <c r="O44"/>
  <c r="P44"/>
  <c r="AG44"/>
  <c r="M43"/>
  <c r="N43"/>
  <c r="O43"/>
  <c r="P43"/>
  <c r="AG43"/>
  <c r="M42"/>
  <c r="N42"/>
  <c r="O42"/>
  <c r="P42"/>
  <c r="AG42"/>
  <c r="M41"/>
  <c r="N41"/>
  <c r="O41"/>
  <c r="P41"/>
  <c r="AG41"/>
  <c r="M40"/>
  <c r="N40"/>
  <c r="O40"/>
  <c r="P40"/>
  <c r="AG40"/>
  <c r="M39"/>
  <c r="N39"/>
  <c r="O39"/>
  <c r="P39"/>
  <c r="AG39"/>
  <c r="M38"/>
  <c r="N38"/>
  <c r="O38"/>
  <c r="P38"/>
  <c r="AG38"/>
  <c r="M37"/>
  <c r="N37"/>
  <c r="O37"/>
  <c r="P37"/>
  <c r="AG37"/>
  <c r="N36"/>
  <c r="O36"/>
  <c r="P36"/>
  <c r="M36"/>
  <c r="AG36"/>
  <c r="N35"/>
  <c r="O35"/>
  <c r="P35"/>
  <c r="M35"/>
  <c r="AG35"/>
  <c r="M34"/>
  <c r="N34"/>
  <c r="O34"/>
  <c r="P34"/>
  <c r="AG34"/>
  <c r="M33"/>
  <c r="N33"/>
  <c r="O33"/>
  <c r="P33"/>
  <c r="AG33"/>
  <c r="AG21"/>
  <c r="AG5"/>
  <c r="AG24"/>
  <c r="AG8"/>
  <c r="AG27"/>
  <c r="AG11"/>
  <c r="AG30"/>
  <c r="AG14"/>
  <c r="AG29"/>
  <c r="AG32"/>
  <c r="AG3"/>
  <c r="AG6"/>
  <c r="AG9"/>
  <c r="AG12"/>
  <c r="AG15"/>
  <c r="AG18"/>
  <c r="AG17"/>
  <c r="AG20"/>
  <c r="AG4"/>
  <c r="AG23"/>
  <c r="AG7"/>
  <c r="AG26"/>
  <c r="AG10"/>
  <c r="AG13"/>
  <c r="AG16"/>
  <c r="AG19"/>
  <c r="AG22"/>
  <c r="AG25"/>
  <c r="AG28"/>
  <c r="AG31"/>
  <c r="AG2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2"/>
  <c r="R30"/>
  <c r="S30"/>
  <c r="R29"/>
  <c r="S29"/>
  <c r="R28"/>
  <c r="S28"/>
  <c r="R27"/>
  <c r="S27"/>
  <c r="R26"/>
  <c r="S26"/>
  <c r="R25"/>
  <c r="S25"/>
  <c r="R24"/>
  <c r="S24"/>
  <c r="R23"/>
  <c r="S23"/>
  <c r="R22"/>
  <c r="S22"/>
  <c r="R21"/>
  <c r="S21"/>
  <c r="R20"/>
  <c r="S20"/>
  <c r="R19"/>
  <c r="S19"/>
  <c r="R18"/>
  <c r="S18"/>
  <c r="R17"/>
  <c r="S17"/>
  <c r="R16"/>
  <c r="S16"/>
  <c r="R15"/>
  <c r="S15"/>
  <c r="R14"/>
  <c r="S14"/>
  <c r="R13"/>
  <c r="S13"/>
  <c r="R12"/>
  <c r="S12"/>
  <c r="R11"/>
  <c r="S11"/>
  <c r="R10"/>
  <c r="S10"/>
  <c r="R9"/>
  <c r="S9"/>
  <c r="R8"/>
  <c r="S8"/>
  <c r="R7"/>
  <c r="S7"/>
  <c r="R6"/>
  <c r="S6"/>
  <c r="R5"/>
  <c r="S5"/>
  <c r="R4"/>
  <c r="S4"/>
  <c r="R3"/>
  <c r="S3"/>
  <c r="R2"/>
  <c r="S2"/>
  <c r="T49" l="1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2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W50"/>
  <c r="U49" l="1"/>
  <c r="U48"/>
  <c r="U47"/>
  <c r="U46"/>
  <c r="U45"/>
  <c r="U44"/>
  <c r="AA6"/>
  <c r="AA38"/>
  <c r="AA42"/>
  <c r="U43"/>
  <c r="U42"/>
  <c r="U41"/>
  <c r="U40"/>
  <c r="U39"/>
  <c r="U38"/>
  <c r="U37"/>
  <c r="U36"/>
  <c r="U35"/>
  <c r="V35" s="1"/>
  <c r="Y35" s="1"/>
  <c r="U34"/>
  <c r="U33"/>
  <c r="U20"/>
  <c r="V20" s="1"/>
  <c r="Z20" s="1"/>
  <c r="U13"/>
  <c r="V13" s="1"/>
  <c r="U25"/>
  <c r="V25" s="1"/>
  <c r="Z25" s="1"/>
  <c r="U23"/>
  <c r="V23" s="1"/>
  <c r="Z23" s="1"/>
  <c r="U22"/>
  <c r="V22" s="1"/>
  <c r="U26"/>
  <c r="V26" s="1"/>
  <c r="Z26" s="1"/>
  <c r="U32"/>
  <c r="V32" s="1"/>
  <c r="U3"/>
  <c r="V3" s="1"/>
  <c r="U11"/>
  <c r="V11" s="1"/>
  <c r="Z11" s="1"/>
  <c r="U19"/>
  <c r="V19" s="1"/>
  <c r="Y19" s="1"/>
  <c r="U12"/>
  <c r="V12" s="1"/>
  <c r="U7"/>
  <c r="V7" s="1"/>
  <c r="U15"/>
  <c r="V15" s="1"/>
  <c r="U27"/>
  <c r="V27" s="1"/>
  <c r="Z27" s="1"/>
  <c r="U31"/>
  <c r="V31" s="1"/>
  <c r="Z31" s="1"/>
  <c r="U4"/>
  <c r="V4" s="1"/>
  <c r="Z4" s="1"/>
  <c r="U16"/>
  <c r="V16" s="1"/>
  <c r="Z16" s="1"/>
  <c r="U28"/>
  <c r="V28" s="1"/>
  <c r="Z28" s="1"/>
  <c r="U8"/>
  <c r="V8" s="1"/>
  <c r="U30"/>
  <c r="V30" s="1"/>
  <c r="U24"/>
  <c r="V24" s="1"/>
  <c r="U14"/>
  <c r="V14" s="1"/>
  <c r="Z14" s="1"/>
  <c r="U17"/>
  <c r="V17" s="1"/>
  <c r="Y17" s="1"/>
  <c r="U21"/>
  <c r="V21" s="1"/>
  <c r="U9"/>
  <c r="V9" s="1"/>
  <c r="U29"/>
  <c r="V29" s="1"/>
  <c r="U6"/>
  <c r="V6" s="1"/>
  <c r="U2"/>
  <c r="U18"/>
  <c r="V18" s="1"/>
  <c r="U5"/>
  <c r="U10"/>
  <c r="V10" s="1"/>
  <c r="Z10" s="1"/>
  <c r="Z49" l="1"/>
  <c r="Z48"/>
  <c r="Z47"/>
  <c r="Z46"/>
  <c r="V49"/>
  <c r="Y49" s="1"/>
  <c r="AA49" s="1"/>
  <c r="AC49"/>
  <c r="V48"/>
  <c r="Y48" s="1"/>
  <c r="AA48" s="1"/>
  <c r="AC48"/>
  <c r="V47"/>
  <c r="Y47" s="1"/>
  <c r="AA47" s="1"/>
  <c r="AC47"/>
  <c r="V46"/>
  <c r="Y46" s="1"/>
  <c r="AA46" s="1"/>
  <c r="AC46"/>
  <c r="Z45"/>
  <c r="V45"/>
  <c r="Y45" s="1"/>
  <c r="Z44"/>
  <c r="V44"/>
  <c r="Y44" s="1"/>
  <c r="Z43"/>
  <c r="AA43" s="1"/>
  <c r="V43"/>
  <c r="AC43"/>
  <c r="Z42"/>
  <c r="V42"/>
  <c r="Y42" s="1"/>
  <c r="Z41"/>
  <c r="V41"/>
  <c r="AC41"/>
  <c r="Z39"/>
  <c r="AA39" s="1"/>
  <c r="V40"/>
  <c r="Z40" s="1"/>
  <c r="V39"/>
  <c r="AC39"/>
  <c r="Y38"/>
  <c r="V38"/>
  <c r="Z38" s="1"/>
  <c r="Y37"/>
  <c r="V37"/>
  <c r="AC37"/>
  <c r="Y36"/>
  <c r="V36"/>
  <c r="Z36" s="1"/>
  <c r="Z35"/>
  <c r="Z34"/>
  <c r="V34"/>
  <c r="V33"/>
  <c r="Z33" s="1"/>
  <c r="V2"/>
  <c r="Y16"/>
  <c r="Y30"/>
  <c r="Y11"/>
  <c r="AC5"/>
  <c r="Y26"/>
  <c r="Y4"/>
  <c r="V5"/>
  <c r="AC6"/>
  <c r="Y22"/>
  <c r="Z19"/>
  <c r="Z8"/>
  <c r="Y25"/>
  <c r="Y15"/>
  <c r="Y3"/>
  <c r="Y28"/>
  <c r="Y24"/>
  <c r="Y20"/>
  <c r="Y14"/>
  <c r="Y9"/>
  <c r="Y2"/>
  <c r="AA2" s="1"/>
  <c r="Z13"/>
  <c r="Y29"/>
  <c r="Y21"/>
  <c r="Y10"/>
  <c r="Z17"/>
  <c r="Y31"/>
  <c r="Y27"/>
  <c r="Y23"/>
  <c r="Y18"/>
  <c r="Y12"/>
  <c r="Y7"/>
  <c r="Z32"/>
  <c r="AA45" l="1"/>
  <c r="AC45" s="1"/>
  <c r="AA44"/>
  <c r="AC44" s="1"/>
  <c r="AA32"/>
  <c r="AC32" s="1"/>
  <c r="AA7"/>
  <c r="AC7" s="1"/>
  <c r="AA12"/>
  <c r="AC12" s="1"/>
  <c r="AA18"/>
  <c r="AC18" s="1"/>
  <c r="AA23"/>
  <c r="AC23" s="1"/>
  <c r="AA27"/>
  <c r="AC27" s="1"/>
  <c r="AA31"/>
  <c r="AC31" s="1"/>
  <c r="AA10"/>
  <c r="AC10" s="1"/>
  <c r="AA21"/>
  <c r="AC21" s="1"/>
  <c r="AA29"/>
  <c r="AC29" s="1"/>
  <c r="AA13"/>
  <c r="AC13" s="1"/>
  <c r="AA9"/>
  <c r="AC9" s="1"/>
  <c r="AA14"/>
  <c r="AC14" s="1"/>
  <c r="AA20"/>
  <c r="AC20" s="1"/>
  <c r="AA24"/>
  <c r="AC24" s="1"/>
  <c r="AA28"/>
  <c r="AC28" s="1"/>
  <c r="AA3"/>
  <c r="AA15"/>
  <c r="AC15" s="1"/>
  <c r="AA25"/>
  <c r="AC25" s="1"/>
  <c r="AA8"/>
  <c r="AC8" s="1"/>
  <c r="AA22"/>
  <c r="AC22" s="1"/>
  <c r="AA4"/>
  <c r="AC4" s="1"/>
  <c r="AA26"/>
  <c r="AC26" s="1"/>
  <c r="AA11"/>
  <c r="AC11" s="1"/>
  <c r="AA30"/>
  <c r="AC30" s="1"/>
  <c r="AA16"/>
  <c r="AC16" s="1"/>
  <c r="AA34"/>
  <c r="AC34" s="1"/>
  <c r="AA36"/>
  <c r="AA35"/>
  <c r="AC35" s="1"/>
  <c r="AA19"/>
  <c r="AC19" s="1"/>
  <c r="AA17"/>
  <c r="AC17" s="1"/>
  <c r="AC42"/>
  <c r="Y40"/>
  <c r="AC38"/>
  <c r="AC36"/>
  <c r="Y33"/>
  <c r="AC2"/>
  <c r="AA33" l="1"/>
  <c r="AA40"/>
  <c r="AC40" s="1"/>
  <c r="AC3"/>
  <c r="AE43"/>
  <c r="AE42"/>
  <c r="AE41"/>
  <c r="AE35"/>
  <c r="AE40"/>
  <c r="AE39"/>
  <c r="AE38"/>
  <c r="AE37"/>
  <c r="AE36"/>
  <c r="AC33"/>
  <c r="AE34"/>
  <c r="AE27"/>
  <c r="AE33"/>
  <c r="AE21"/>
  <c r="AE8"/>
  <c r="AE14"/>
  <c r="AE15"/>
  <c r="AE2"/>
  <c r="AE9"/>
  <c r="AE6"/>
  <c r="AE30"/>
  <c r="AE24"/>
  <c r="AE18"/>
  <c r="AE12"/>
  <c r="AE25"/>
  <c r="AE22"/>
  <c r="AE19"/>
  <c r="AE16"/>
  <c r="AE17"/>
  <c r="AE11"/>
  <c r="AE5"/>
  <c r="AE13"/>
  <c r="AE10"/>
  <c r="AE7"/>
  <c r="AE4"/>
  <c r="AE3"/>
  <c r="AE28"/>
  <c r="AE32"/>
  <c r="AE31"/>
  <c r="AE29"/>
  <c r="AE26"/>
  <c r="AE23"/>
  <c r="AE20"/>
  <c r="AB50"/>
  <c r="AA50" s="1"/>
  <c r="AG50" s="1"/>
  <c r="AD49" l="1"/>
  <c r="AE49"/>
  <c r="AF49" s="1"/>
  <c r="AD48"/>
  <c r="AE48"/>
  <c r="AF48" s="1"/>
  <c r="AD46"/>
  <c r="AE47"/>
  <c r="AD47"/>
  <c r="AF47" s="1"/>
  <c r="AE46"/>
  <c r="AF46" s="1"/>
  <c r="AD32"/>
  <c r="AD31"/>
  <c r="AD30"/>
  <c r="AD29"/>
  <c r="AF29" s="1"/>
  <c r="AD28"/>
  <c r="AD27"/>
  <c r="AF27" s="1"/>
  <c r="AD26"/>
  <c r="AF26" s="1"/>
  <c r="AD25"/>
  <c r="AD24"/>
  <c r="AD23"/>
  <c r="AD22"/>
  <c r="AD21"/>
  <c r="AD20"/>
  <c r="AF20" s="1"/>
  <c r="AD19"/>
  <c r="AD18"/>
  <c r="AF18" s="1"/>
  <c r="AD17"/>
  <c r="AF17" s="1"/>
  <c r="AD16"/>
  <c r="AD15"/>
  <c r="AD14"/>
  <c r="AD13"/>
  <c r="AD12"/>
  <c r="AD11"/>
  <c r="AD10"/>
  <c r="AD9"/>
  <c r="AD8"/>
  <c r="AF8" s="1"/>
  <c r="AD7"/>
  <c r="AD6"/>
  <c r="AD5"/>
  <c r="AD4"/>
  <c r="AD3"/>
  <c r="AD45"/>
  <c r="AE45"/>
  <c r="AD2"/>
  <c r="AD41"/>
  <c r="AD42"/>
  <c r="AF42" s="1"/>
  <c r="AD43"/>
  <c r="AD44"/>
  <c r="AD39"/>
  <c r="AF39" s="1"/>
  <c r="AD40"/>
  <c r="AF40" s="1"/>
  <c r="AD37"/>
  <c r="AF37" s="1"/>
  <c r="AD38"/>
  <c r="AF38" s="1"/>
  <c r="AD35"/>
  <c r="AF35" s="1"/>
  <c r="AD36"/>
  <c r="AD34"/>
  <c r="AD33"/>
  <c r="AE44"/>
  <c r="AF44" s="1"/>
  <c r="AF43"/>
  <c r="AF41"/>
  <c r="AF19"/>
  <c r="AF36"/>
  <c r="AF4"/>
  <c r="AF34"/>
  <c r="AF30"/>
  <c r="AF13"/>
  <c r="AF24"/>
  <c r="AF3"/>
  <c r="AF33"/>
  <c r="AF12"/>
  <c r="AF15"/>
  <c r="AF9"/>
  <c r="AF16"/>
  <c r="AF32"/>
  <c r="AF25"/>
  <c r="AF21"/>
  <c r="AF22"/>
  <c r="AF28"/>
  <c r="AF2"/>
  <c r="AF10"/>
  <c r="AF5"/>
  <c r="AF23"/>
  <c r="AF7"/>
  <c r="AF11"/>
  <c r="AF6"/>
  <c r="AF14"/>
  <c r="AF31"/>
  <c r="AF50"/>
  <c r="AF45" l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50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<sst xmlns="http://schemas.openxmlformats.org/spreadsheetml/2006/main" count="262" uniqueCount="69">
  <si>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</si>
  <si>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</si>
  <si>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</si>
  <si>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</si>
  <si>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</si>
  <si>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</si>
  <si>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</si>
  <si>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</si>
  <si>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</si>
  <si>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</si>
  <si>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</si>
  <si>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</si>
  <si>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</si>
  <si>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</si>
  <si>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</si>
  <si>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</si>
  <si>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</si>
  <si>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</si>
  <si>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</si>
  <si>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</si>
  <si>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</si>
  <si>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</si>
  <si>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</si>
  <si>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</si>
  <si>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</si>
  <si>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</si>
  <si>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</si>
  <si>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</si>
  <si>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</si>
  <si>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</si>
  <si>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</si>
  <si>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</si>
  <si>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</si>
  <si>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</si>
  <si>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</si>
  <si>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</si>
  <si>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</si>
  <si>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</si>
  <si>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</si>
  <si>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</si>
  <si>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</si>
  <si>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</si>
  <si>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</si>
  <si>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</si>
  <si>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</si>
  <si>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</si>
  <si>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</si>
  <si>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</si>
  <si>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</si>
  <si>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</si>
  <si>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</si>
  <si>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</si>
  <si>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</si>
  <si>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</si>
  <si>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</si>
  <si>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</si>
  <si>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</si>
  <si>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</si>
  <si>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</si>
  <si>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</si>
  <si>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</si>
  <si>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</si>
  <si>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</si>
  <si>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</si>
  <si>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</si>
  <si>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</si>
  <si>
    <t>PDGR3</t>
  </si>
  <si>
    <t>BBAS3</t>
  </si>
  <si>
    <t>BRKM5</t>
  </si>
</sst>
</file>

<file path=xl/styles.xml><?xml version="1.0" encoding="utf-8"?>
<styleSheet xmlns="http://schemas.openxmlformats.org/spreadsheetml/2006/main">
  <numFmts count="6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00B05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164" fontId="3" fillId="0" borderId="0" xfId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64" fontId="8" fillId="0" borderId="0" xfId="0" applyNumberFormat="1" applyFont="1" applyAlignment="1"/>
    <xf numFmtId="169" fontId="8" fillId="0" borderId="0" xfId="0" applyNumberFormat="1" applyFont="1" applyAlignment="1"/>
    <xf numFmtId="164" fontId="8" fillId="0" borderId="0" xfId="1" applyNumberFormat="1" applyFont="1" applyAlignment="1"/>
    <xf numFmtId="10" fontId="8" fillId="0" borderId="0" xfId="2" applyNumberFormat="1" applyFont="1" applyAlignment="1"/>
    <xf numFmtId="164" fontId="3" fillId="0" borderId="0" xfId="1" applyNumberFormat="1" applyFont="1" applyAlignment="1"/>
    <xf numFmtId="0" fontId="9" fillId="0" borderId="0" xfId="0" applyNumberFormat="1" applyFont="1" applyAlignment="1"/>
    <xf numFmtId="168" fontId="9" fillId="0" borderId="0" xfId="0" applyNumberFormat="1" applyFont="1" applyAlignment="1"/>
    <xf numFmtId="164" fontId="9" fillId="0" borderId="0" xfId="0" applyNumberFormat="1" applyFont="1" applyAlignment="1"/>
    <xf numFmtId="169" fontId="9" fillId="0" borderId="0" xfId="0" applyNumberFormat="1" applyFont="1" applyAlignment="1"/>
    <xf numFmtId="164" fontId="9" fillId="0" borderId="0" xfId="1" applyNumberFormat="1" applyFont="1" applyAlignment="1"/>
    <xf numFmtId="10" fontId="9" fillId="0" borderId="0" xfId="2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Alignment="1"/>
    <xf numFmtId="10" fontId="9" fillId="0" borderId="0" xfId="0" applyNumberFormat="1" applyFont="1" applyAlignment="1"/>
    <xf numFmtId="10" fontId="10" fillId="0" borderId="0" xfId="0" applyNumberFormat="1" applyFont="1" applyAlignment="1"/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55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50" totalsRowCount="1" headerRowDxfId="68" dataDxfId="67" totalsRowDxfId="66">
  <autoFilter ref="A1:AG49"/>
  <sortState ref="A2:AG47">
    <sortCondition ref="D1:D47"/>
  </sortState>
  <tableColumns count="33">
    <tableColumn id="19" name="ID" totalsRowLabel="Total" dataDxfId="65" totalsRowDxfId="32"/>
    <tableColumn id="2" name="ATIVO" dataDxfId="64" totalsRowDxfId="31"/>
    <tableColumn id="3" name="OPER/TIPO" dataDxfId="63" totalsRowDxfId="30"/>
    <tableColumn id="4" name="DATA" dataDxfId="62" totalsRowDxfId="29"/>
    <tableColumn id="5" name="QTDE" dataDxfId="61" totalsRowDxfId="28"/>
    <tableColumn id="6" name="PREÇO" dataDxfId="60" totalsRowDxfId="27"/>
    <tableColumn id="27" name="[A/O]" dataDxfId="59" totalsRowDxfId="26"/>
    <tableColumn id="7" name="[D/N]" dataDxfId="58" totalsRowDxfId="25"/>
    <tableColumn id="34" name="D LIQUID" dataDxfId="57" totalsRowDxfId="24">
      <calculatedColumnFormula>WORKDAY(NC[[#This Row],[DATA]],IF(['[A/O']]="A",3,1))</calculatedColumnFormula>
    </tableColumn>
    <tableColumn id="31" name="D BASE" dataDxfId="56" totalsRowDxfId="23">
      <calculatedColumnFormula>EOMONTH(NC[[#This Row],[D LIQUID]],0)</calculatedColumnFormula>
    </tableColumn>
    <tableColumn id="21" name="PAR" dataDxfId="55" totalsRowDxfId="22">
      <calculatedColumnFormula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calculatedColumnFormula>
    </tableColumn>
    <tableColumn id="8" name="VALOR" dataDxfId="54" totalsRowDxfId="21">
      <calculatedColumnFormula>[QTDE]*[PREÇO]</calculatedColumnFormula>
    </tableColumn>
    <tableColumn id="9" name="VL LIQUID" dataDxfId="53" totalsRowDxfId="20">
      <calculatedColumnFormula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calculatedColumnFormula>
    </tableColumn>
    <tableColumn id="10" name="TX LIQUID" dataDxfId="52" totalsRowDxfId="19">
      <calculatedColumnFormula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calculatedColumnFormula>
    </tableColumn>
    <tableColumn id="11" name="EMOL" dataDxfId="51" totalsRowDxfId="18">
      <calculatedColumnFormula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calculatedColumnFormula>
    </tableColumn>
    <tableColumn id="28" name="REGISTRO" dataDxfId="50" totalsRowDxfId="17">
      <calculatedColumnFormula>TRUNC(SUMPRODUCT(N([DATA]=NC[[#This Row],[DATA]]),N([ID]&lt;=NC[[#This Row],[ID]]),N(['[A/O']]="O"),N(['[D/N']]="N"),[VALOR]*SETUP!$C$7)  +  SUMPRODUCT(N([DATA]=NC[[#This Row],[DATA]]),N([ID]&lt;=NC[[#This Row],[ID]]),N(['[A/O']]="O"),N(['[D/N']]="D"),[VALOR]*SETUP!$F$7),2)</calculatedColumnFormula>
    </tableColumn>
    <tableColumn id="12" name="CORR. BASE" dataDxfId="49" totalsRowDxfId="16">
      <calculatedColumnFormula>SETUP!$E$3*SUMPRODUCT(N([DATA]=NC[[#This Row],[DATA]]),N([ID]&lt;=NC[[#This Row],[ID]]))</calculatedColumnFormula>
    </tableColumn>
    <tableColumn id="13" name="ISS" dataDxfId="48" totalsRowDxfId="15">
      <calculatedColumnFormula>TRUNC([CORR. BASE]*SETUP!$F$3,2)</calculatedColumnFormula>
    </tableColumn>
    <tableColumn id="15" name="OUTRAS" dataDxfId="47" totalsRowDxfId="14">
      <calculatedColumnFormula>TRUNC([CORR. BASE]*SETUP!$G$3,2)</calculatedColumnFormula>
    </tableColumn>
    <tableColumn id="16" name="LÍQUIDO" totalsRowLabel=" R$ 6.765,77 " dataDxfId="46" totalsRowDxfId="13">
      <calculatedColumnFormula>[VL LIQUID]-[TX LIQUID]-[EMOL]-[REGISTRO]-[CORR. BASE]-[ISS]-[OUTRAS]</calculatedColumnFormula>
    </tableColumn>
    <tableColumn id="17" name="VALOR P/ OP" dataDxfId="45" totalsRowDxfId="12">
      <calculatedColumnFormula>[LÍQUIDO]-SUMPRODUCT(N([DATA]=NC[[#This Row],[DATA]]),N([ID]=(NC[[#This Row],[ID]]-1)),[LÍQUIDO])</calculatedColumnFormula>
    </tableColumn>
    <tableColumn id="18" name="MEDIO" dataDxfId="44" totalsRowDxfId="11">
      <calculatedColumnFormula>ABS(U2)/E2</calculatedColumnFormula>
    </tableColumn>
    <tableColumn id="20" name="IRRF" totalsRowFunction="sum" dataDxfId="43" totalsRowDxfId="10">
      <calculatedColumnFormula>TRUNC(IF(OR([OPER/TIPO]="CV",[OPER/TIPO]="VV"),     L2*SETUP!$H$3,     0),2)</calculatedColumnFormula>
    </tableColumn>
    <tableColumn id="24" name="SALDO" dataDxfId="42" totalsRowDxfId="9">
      <calculatedColumnFormula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calculatedColumnFormula>
    </tableColumn>
    <tableColumn id="22" name="MED CP" dataDxfId="41" totalsRowDxfId="8">
      <calculatedColumnFormula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calculatedColumnFormula>
    </tableColumn>
    <tableColumn id="23" name="MED VD" dataDxfId="40" totalsRowDxfId="7">
      <calculatedColumnFormula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calculatedColumnFormula>
    </tableColumn>
    <tableColumn id="25" name="LUCRO OP" totalsRowFunction="custom" dataDxfId="34" totalsRowDxfId="6">
      <calculatedColumnFormula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calculatedColumnFormula>
      <totalsRowFormula>SUBTOTAL(109,[LUCRO OP])-NC[[#Totals],[IRRF OPÇÃO]]</totalsRowFormula>
    </tableColumn>
    <tableColumn id="32" name="IRRF OPÇÃO" totalsRowFunction="sum" dataDxfId="39" totalsRowDxfId="5" dataCellStyle="Moeda">
      <calculatedColumnFormula>IF(['[A/O']]="O",[LUCRO OP]*0.15,0)</calculatedColumnFormula>
    </tableColumn>
    <tableColumn id="30" name="% LUCRO" dataDxfId="38" totalsRowDxfId="4" dataCellStyle="Porcentagem">
      <calculatedColumnFormula>[LUCRO OP]/ABS([VALOR P/ OP])</calculatedColumnFormula>
    </tableColumn>
    <tableColumn id="26" name="LUCRO N [A]" dataDxfId="33" totalsRowDxfId="3">
      <calculatedColumnFormula>SUMPRODUCT(N(YEAR([D LIQUID])=YEAR(NC[[#This Row],[D LIQUID]])),N(MONTH([D LIQUID])=MONTH(NC[[#This Row],[D LIQUID]])),N(['[D/N']]="N"),[LUCRO OP])</calculatedColumnFormula>
    </tableColumn>
    <tableColumn id="14" name="LUCRO D" dataDxfId="37" totalsRowDxfId="2">
      <calculatedColumnFormula>SUMPRODUCT(N(YEAR([D LIQUID])=YEAR(NC[[#This Row],[D LIQUID]])),N(MONTH([D LIQUID])=MONTH(NC[[#This Row],[D LIQUID]])),N(['[D/N']]="D"),[LUCRO OP])</calculatedColumnFormula>
    </tableColumn>
    <tableColumn id="29" name="LUCRO MÊS" totalsRowFunction="custom" dataDxfId="36" totalsRowDxfId="1">
      <calculatedColumnFormula>[LUCRO N '[A']]+[LUCRO D]</calculatedColumnFormula>
      <totalsRowFormula>NC[[#Totals],[LUCRO OP]]/NC[[#Totals],[LÍQUIDO]]</totalsRowFormula>
    </tableColumn>
    <tableColumn id="1" name="VOLUME" totalsRowFunction="custom" dataDxfId="35" totalsRowDxfId="0">
      <calculatedColumnFormula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3:B16"/>
  <sheetViews>
    <sheetView workbookViewId="0">
      <selection activeCell="A14" sqref="A14"/>
    </sheetView>
  </sheetViews>
  <sheetFormatPr defaultRowHeight="12.75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>
      <c r="A3" s="8" t="s">
        <v>33</v>
      </c>
      <c r="B3" s="11"/>
    </row>
    <row r="4" spans="1:2">
      <c r="A4" s="8" t="s">
        <v>0</v>
      </c>
      <c r="B4" s="11" t="s">
        <v>32</v>
      </c>
    </row>
    <row r="5" spans="1:2">
      <c r="A5" s="7" t="s">
        <v>28</v>
      </c>
      <c r="B5" s="12">
        <v>-862.45000000000027</v>
      </c>
    </row>
    <row r="6" spans="1:2">
      <c r="A6" s="9" t="s">
        <v>25</v>
      </c>
      <c r="B6" s="13">
        <v>-130.13999999999999</v>
      </c>
    </row>
    <row r="7" spans="1:2">
      <c r="A7" s="9" t="s">
        <v>22</v>
      </c>
      <c r="B7" s="13">
        <v>205.45000000000027</v>
      </c>
    </row>
    <row r="8" spans="1:2">
      <c r="A8" s="9" t="s">
        <v>29</v>
      </c>
      <c r="B8" s="13">
        <v>-1201.19</v>
      </c>
    </row>
    <row r="9" spans="1:2">
      <c r="A9" s="9" t="s">
        <v>13</v>
      </c>
      <c r="B9" s="13">
        <v>-121.93</v>
      </c>
    </row>
    <row r="10" spans="1:2">
      <c r="A10" s="9" t="s">
        <v>24</v>
      </c>
      <c r="B10" s="13">
        <v>-21.560000000000855</v>
      </c>
    </row>
    <row r="11" spans="1:2">
      <c r="A11" s="9" t="s">
        <v>26</v>
      </c>
      <c r="B11" s="13">
        <v>-81.129999999999654</v>
      </c>
    </row>
    <row r="12" spans="1:2">
      <c r="A12" s="9" t="s">
        <v>11</v>
      </c>
      <c r="B12" s="13">
        <v>-255.90999999999991</v>
      </c>
    </row>
    <row r="13" spans="1:2">
      <c r="A13" s="9" t="s">
        <v>23</v>
      </c>
      <c r="B13" s="13">
        <v>-88.079999999999814</v>
      </c>
    </row>
    <row r="14" spans="1:2">
      <c r="A14" s="9" t="s">
        <v>27</v>
      </c>
      <c r="B14" s="13">
        <v>-150.42000000000007</v>
      </c>
    </row>
    <row r="15" spans="1:2">
      <c r="A15" s="9" t="s">
        <v>30</v>
      </c>
      <c r="B15" s="13"/>
    </row>
    <row r="16" spans="1: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G51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V56" sqref="V56"/>
    </sheetView>
  </sheetViews>
  <sheetFormatPr defaultColWidth="11.5703125" defaultRowHeight="11.25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hidden="1" customWidth="1"/>
    <col min="11" max="11" width="5.85546875" style="16" hidden="1" customWidth="1"/>
    <col min="12" max="12" width="9.85546875" style="15" hidden="1" customWidth="1"/>
    <col min="13" max="13" width="9.85546875" style="17" hidden="1" customWidth="1"/>
    <col min="14" max="14" width="10.85546875" style="15" hidden="1" customWidth="1"/>
    <col min="15" max="15" width="7" style="16" hidden="1" customWidth="1"/>
    <col min="16" max="16" width="9.42578125" style="16" hidden="1" customWidth="1"/>
    <col min="17" max="17" width="10.7109375" style="15" hidden="1" customWidth="1"/>
    <col min="18" max="18" width="6.85546875" style="15" hidden="1" customWidth="1"/>
    <col min="19" max="19" width="9.85546875" style="15" hidden="1" customWidth="1"/>
    <col min="20" max="20" width="10.71093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10.7109375" style="15" bestFit="1" customWidth="1"/>
    <col min="28" max="28" width="11.140625" style="15" hidden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Row],[DATA]],IF(['[A/O']]="A",3,1))</f>
        <v>40882</v>
      </c>
      <c r="J2" s="21">
        <f>EOMONTH(NC[[#This Row],[D LIQUID]],0)</f>
        <v>40908</v>
      </c>
      <c r="K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" s="23">
        <f>[QTDE]*[PREÇO]</f>
        <v>1362</v>
      </c>
      <c r="M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-1362</v>
      </c>
      <c r="N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0.37</v>
      </c>
      <c r="O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" s="23">
        <f>SETUP!$E$3*SUMPRODUCT(N([DATA]=NC[[#This Row],[DATA]]),N([ID]&lt;=NC[[#This Row],[ID]]))</f>
        <v>14.9</v>
      </c>
      <c r="R2" s="23">
        <f>TRUNC([CORR. BASE]*SETUP!$F$3,2)</f>
        <v>0.28999999999999998</v>
      </c>
      <c r="S2" s="23">
        <f>TRUNC([CORR. BASE]*SETUP!$G$3,2)</f>
        <v>0.57999999999999996</v>
      </c>
      <c r="T2" s="23">
        <f>[VL LIQUID]-[TX LIQUID]-[EMOL]-[REGISTRO]-[CORR. BASE]-[ISS]-[OUTRAS]</f>
        <v>-1378.2299999999998</v>
      </c>
      <c r="U2" s="23">
        <f>[LÍQUIDO]-SUMPRODUCT(N([DATA]=NC[[#This Row],[DATA]]),N([ID]=(NC[[#This Row],[ID]]-1)),[LÍQUIDO])</f>
        <v>-1378.2299999999998</v>
      </c>
      <c r="V2" s="23">
        <f>ABS(U2)/E2</f>
        <v>13.782299999999998</v>
      </c>
      <c r="W2" s="23">
        <f>TRUNC(IF(OR([OPER/TIPO]="CV",[OPER/TIPO]="VV"),     L2*SETUP!$H$3,     0),2)</f>
        <v>0</v>
      </c>
      <c r="X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2" s="29">
        <f>IF(['[A/O']]="O",[LUCRO OP]*0.15,0)</f>
        <v>0</v>
      </c>
      <c r="AC2" s="28">
        <f>[LUCRO OP]/ABS([VALOR P/ OP])</f>
        <v>0</v>
      </c>
      <c r="AD2" s="23">
        <f>SUMPRODUCT(N(YEAR([D LIQUID])=YEAR(NC[[#This Row],[D LIQUID]])),N(MONTH([D LIQUID])=MONTH(NC[[#This Row],[D LIQUID]])),N(['[D/N']]="N"),[LUCRO OP])</f>
        <v>306.37500000000023</v>
      </c>
      <c r="AE2" s="23">
        <f>SUMPRODUCT(N(YEAR([D LIQUID])=YEAR(NC[[#This Row],[D LIQUID]])),N(MONTH([D LIQUID])=MONTH(NC[[#This Row],[D LIQUID]])),N(['[D/N']]="D"),[LUCRO OP])</f>
        <v>-36.1</v>
      </c>
      <c r="AF2" s="23">
        <f>[LUCRO N '[A']]+[LUCRO D]</f>
        <v>270.2750000000002</v>
      </c>
      <c r="AG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3" spans="1:33" s="21" customFormat="1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Row],[DATA]],IF(['[A/O']]="A",3,1))</f>
        <v>40886</v>
      </c>
      <c r="J3" s="21">
        <f>EOMONTH(NC[[#This Row],[D LIQUID]],0)</f>
        <v>40908</v>
      </c>
      <c r="K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" s="23">
        <f>[QTDE]*[PREÇO]</f>
        <v>844.99999999999989</v>
      </c>
      <c r="M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-844.99999999999989</v>
      </c>
      <c r="N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" s="23">
        <f>SETUP!$E$3*SUMPRODUCT(N([DATA]=NC[[#This Row],[DATA]]),N([ID]&lt;=NC[[#This Row],[ID]]))</f>
        <v>14.9</v>
      </c>
      <c r="R3" s="23">
        <f>TRUNC([CORR. BASE]*SETUP!$F$3,2)</f>
        <v>0.28999999999999998</v>
      </c>
      <c r="S3" s="23">
        <f>TRUNC([CORR. BASE]*SETUP!$G$3,2)</f>
        <v>0.57999999999999996</v>
      </c>
      <c r="T3" s="23">
        <f>[VL LIQUID]-[TX LIQUID]-[EMOL]-[REGISTRO]-[CORR. BASE]-[ISS]-[OUTRAS]</f>
        <v>-861.04999999999984</v>
      </c>
      <c r="U3" s="23">
        <f>[LÍQUIDO]-SUMPRODUCT(N([DATA]=NC[[#This Row],[DATA]]),N([ID]=(NC[[#This Row],[ID]]-1)),[LÍQUIDO])</f>
        <v>-861.04999999999984</v>
      </c>
      <c r="V3" s="23">
        <f>ABS(U3)/E3</f>
        <v>8.6104999999999983</v>
      </c>
      <c r="W3" s="23">
        <f>TRUNC(IF(OR([OPER/TIPO]="CV",[OPER/TIPO]="VV"),     L3*SETUP!$H$3,     0),2)</f>
        <v>0</v>
      </c>
      <c r="X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" s="29">
        <f>IF(['[A/O']]="O",[LUCRO OP]*0.15,0)</f>
        <v>0</v>
      </c>
      <c r="AC3" s="28">
        <f>[LUCRO OP]/ABS([VALOR P/ OP])</f>
        <v>0</v>
      </c>
      <c r="AD3" s="23">
        <f>SUMPRODUCT(N(YEAR([D LIQUID])=YEAR(NC[[#This Row],[D LIQUID]])),N(MONTH([D LIQUID])=MONTH(NC[[#This Row],[D LIQUID]])),N(['[D/N']]="N"),[LUCRO OP])</f>
        <v>306.37500000000023</v>
      </c>
      <c r="AE3" s="23">
        <f>SUMPRODUCT(N(YEAR([D LIQUID])=YEAR(NC[[#This Row],[D LIQUID]])),N(MONTH([D LIQUID])=MONTH(NC[[#This Row],[D LIQUID]])),N(['[D/N']]="D"),[LUCRO OP])</f>
        <v>-36.1</v>
      </c>
      <c r="AF3" s="23">
        <f>[LUCRO N '[A']]+[LUCRO D]</f>
        <v>270.2750000000002</v>
      </c>
      <c r="AG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4" spans="1:33" s="21" customFormat="1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Row],[DATA]],IF(['[A/O']]="A",3,1))</f>
        <v>40889</v>
      </c>
      <c r="J4" s="21">
        <f>EOMONTH(NC[[#This Row],[D LIQUID]],0)</f>
        <v>40908</v>
      </c>
      <c r="K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" s="23">
        <f>[QTDE]*[PREÇO]</f>
        <v>1600</v>
      </c>
      <c r="M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1600</v>
      </c>
      <c r="N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" s="23">
        <f>SETUP!$E$3*SUMPRODUCT(N([DATA]=NC[[#This Row],[DATA]]),N([ID]&lt;=NC[[#This Row],[ID]]))</f>
        <v>14.9</v>
      </c>
      <c r="R4" s="23">
        <f>TRUNC([CORR. BASE]*SETUP!$F$3,2)</f>
        <v>0.28999999999999998</v>
      </c>
      <c r="S4" s="23">
        <f>TRUNC([CORR. BASE]*SETUP!$G$3,2)</f>
        <v>0.57999999999999996</v>
      </c>
      <c r="T4" s="23">
        <f>[VL LIQUID]-[TX LIQUID]-[EMOL]-[REGISTRO]-[CORR. BASE]-[ISS]-[OUTRAS]</f>
        <v>1583.68</v>
      </c>
      <c r="U4" s="23">
        <f>[LÍQUIDO]-SUMPRODUCT(N([DATA]=NC[[#This Row],[DATA]]),N([ID]=(NC[[#This Row],[ID]]-1)),[LÍQUIDO])</f>
        <v>1583.68</v>
      </c>
      <c r="V4" s="23">
        <f>ABS(U4)/E4</f>
        <v>15.8368</v>
      </c>
      <c r="W4" s="23">
        <f>TRUNC(IF(OR([OPER/TIPO]="CV",[OPER/TIPO]="VV"),     L4*SETUP!$H$3,     0),2)</f>
        <v>0.08</v>
      </c>
      <c r="X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13.782299999999998</v>
      </c>
      <c r="Z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15.8368</v>
      </c>
      <c r="AA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205.45000000000027</v>
      </c>
      <c r="AB4" s="29">
        <f>IF(['[A/O']]="O",[LUCRO OP]*0.15,0)</f>
        <v>0</v>
      </c>
      <c r="AC4" s="28">
        <f>[LUCRO OP]/ABS([VALOR P/ OP])</f>
        <v>0.12972949080622365</v>
      </c>
      <c r="AD4" s="23">
        <f>SUMPRODUCT(N(YEAR([D LIQUID])=YEAR(NC[[#This Row],[D LIQUID]])),N(MONTH([D LIQUID])=MONTH(NC[[#This Row],[D LIQUID]])),N(['[D/N']]="N"),[LUCRO OP])</f>
        <v>306.37500000000023</v>
      </c>
      <c r="AE4" s="23">
        <f>SUMPRODUCT(N(YEAR([D LIQUID])=YEAR(NC[[#This Row],[D LIQUID]])),N(MONTH([D LIQUID])=MONTH(NC[[#This Row],[D LIQUID]])),N(['[D/N']]="D"),[LUCRO OP])</f>
        <v>-36.1</v>
      </c>
      <c r="AF4" s="23">
        <f>[LUCRO N '[A']]+[LUCRO D]</f>
        <v>270.2750000000002</v>
      </c>
      <c r="AG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5" spans="1:33" s="21" customFormat="1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Row],[DATA]],IF(['[A/O']]="A",3,1))</f>
        <v>40893</v>
      </c>
      <c r="J5" s="21">
        <f>EOMONTH(NC[[#This Row],[D LIQUID]],0)</f>
        <v>40908</v>
      </c>
      <c r="K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5" s="23">
        <f>[QTDE]*[PREÇO]</f>
        <v>1132</v>
      </c>
      <c r="M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-1132</v>
      </c>
      <c r="N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5" s="23">
        <f>SETUP!$E$3*SUMPRODUCT(N([DATA]=NC[[#This Row],[DATA]]),N([ID]&lt;=NC[[#This Row],[ID]]))</f>
        <v>14.9</v>
      </c>
      <c r="R5" s="23">
        <f>TRUNC([CORR. BASE]*SETUP!$F$3,2)</f>
        <v>0.28999999999999998</v>
      </c>
      <c r="S5" s="23">
        <f>TRUNC([CORR. BASE]*SETUP!$G$3,2)</f>
        <v>0.57999999999999996</v>
      </c>
      <c r="T5" s="23">
        <f>[VL LIQUID]-[TX LIQUID]-[EMOL]-[REGISTRO]-[CORR. BASE]-[ISS]-[OUTRAS]</f>
        <v>-1148.04</v>
      </c>
      <c r="U5" s="23">
        <f>[LÍQUIDO]-SUMPRODUCT(N([DATA]=NC[[#This Row],[DATA]]),N([ID]=(NC[[#This Row],[ID]]-1)),[LÍQUIDO])</f>
        <v>-1148.04</v>
      </c>
      <c r="V5" s="23">
        <f>ABS(U5)/E5</f>
        <v>5.7401999999999997</v>
      </c>
      <c r="W5" s="23">
        <f>TRUNC(IF(OR([OPER/TIPO]="CV",[OPER/TIPO]="VV"),     L5*SETUP!$H$3,     0),2)</f>
        <v>0</v>
      </c>
      <c r="X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5" s="29">
        <f>IF(['[A/O']]="O",[LUCRO OP]*0.15,0)</f>
        <v>0</v>
      </c>
      <c r="AC5" s="28">
        <f>[LUCRO OP]/ABS([VALOR P/ OP])</f>
        <v>0</v>
      </c>
      <c r="AD5" s="23">
        <f>SUMPRODUCT(N(YEAR([D LIQUID])=YEAR(NC[[#This Row],[D LIQUID]])),N(MONTH([D LIQUID])=MONTH(NC[[#This Row],[D LIQUID]])),N(['[D/N']]="N"),[LUCRO OP])</f>
        <v>306.37500000000023</v>
      </c>
      <c r="AE5" s="23">
        <f>SUMPRODUCT(N(YEAR([D LIQUID])=YEAR(NC[[#This Row],[D LIQUID]])),N(MONTH([D LIQUID])=MONTH(NC[[#This Row],[D LIQUID]])),N(['[D/N']]="D"),[LUCRO OP])</f>
        <v>-36.1</v>
      </c>
      <c r="AF5" s="23">
        <f>[LUCRO N '[A']]+[LUCRO D]</f>
        <v>270.2750000000002</v>
      </c>
      <c r="AG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6" spans="1:33" s="21" customFormat="1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Row],[DATA]],IF(['[A/O']]="A",3,1))</f>
        <v>40893</v>
      </c>
      <c r="J6" s="21">
        <f>EOMONTH(NC[[#This Row],[D LIQUID]],0)</f>
        <v>40908</v>
      </c>
      <c r="K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6" s="23">
        <f>[QTDE]*[PREÇO]</f>
        <v>1128</v>
      </c>
      <c r="M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-4</v>
      </c>
      <c r="N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</v>
      </c>
      <c r="O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0.15</v>
      </c>
      <c r="P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6" s="23">
        <f>SETUP!$E$3*SUMPRODUCT(N([DATA]=NC[[#This Row],[DATA]]),N([ID]&lt;=NC[[#This Row],[ID]]))</f>
        <v>29.8</v>
      </c>
      <c r="R6" s="23">
        <f>TRUNC([CORR. BASE]*SETUP!$F$3,2)</f>
        <v>0.59</v>
      </c>
      <c r="S6" s="23">
        <f>TRUNC([CORR. BASE]*SETUP!$G$3,2)</f>
        <v>1.1599999999999999</v>
      </c>
      <c r="T6" s="23">
        <f>[VL LIQUID]-[TX LIQUID]-[EMOL]-[REGISTRO]-[CORR. BASE]-[ISS]-[OUTRAS]</f>
        <v>-36.1</v>
      </c>
      <c r="U6" s="23">
        <f>[LÍQUIDO]-SUMPRODUCT(N([DATA]=NC[[#This Row],[DATA]]),N([ID]=(NC[[#This Row],[ID]]-1)),[LÍQUIDO])</f>
        <v>1111.94</v>
      </c>
      <c r="V6" s="23">
        <f>ABS(U6)/E6</f>
        <v>5.5597000000000003</v>
      </c>
      <c r="W6" s="23">
        <f>TRUNC(IF(OR([OPER/TIPO]="CV",[OPER/TIPO]="VV"),     L6*SETUP!$H$3,     0),2)</f>
        <v>0.05</v>
      </c>
      <c r="X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-36.1</v>
      </c>
      <c r="AB6" s="29">
        <f>IF(['[A/O']]="O",[LUCRO OP]*0.15,0)</f>
        <v>0</v>
      </c>
      <c r="AC6" s="28">
        <f>[LUCRO OP]/ABS([VALOR P/ OP])</f>
        <v>-3.2465780527726314E-2</v>
      </c>
      <c r="AD6" s="23">
        <f>SUMPRODUCT(N(YEAR([D LIQUID])=YEAR(NC[[#This Row],[D LIQUID]])),N(MONTH([D LIQUID])=MONTH(NC[[#This Row],[D LIQUID]])),N(['[D/N']]="N"),[LUCRO OP])</f>
        <v>306.37500000000023</v>
      </c>
      <c r="AE6" s="23">
        <f>SUMPRODUCT(N(YEAR([D LIQUID])=YEAR(NC[[#This Row],[D LIQUID]])),N(MONTH([D LIQUID])=MONTH(NC[[#This Row],[D LIQUID]])),N(['[D/N']]="D"),[LUCRO OP])</f>
        <v>-36.1</v>
      </c>
      <c r="AF6" s="23">
        <f>[LUCRO N '[A']]+[LUCRO D]</f>
        <v>270.2750000000002</v>
      </c>
      <c r="AG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7" spans="1:33" s="21" customFormat="1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Row],[DATA]],IF(['[A/O']]="A",3,1))</f>
        <v>40893</v>
      </c>
      <c r="J7" s="21">
        <f>EOMONTH(NC[[#This Row],[D LIQUID]],0)</f>
        <v>40908</v>
      </c>
      <c r="K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7" s="23">
        <f>[QTDE]*[PREÇO]</f>
        <v>1130</v>
      </c>
      <c r="M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-1134</v>
      </c>
      <c r="N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0.71</v>
      </c>
      <c r="O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0.23</v>
      </c>
      <c r="P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7" s="23">
        <f>SETUP!$E$3*SUMPRODUCT(N([DATA]=NC[[#This Row],[DATA]]),N([ID]&lt;=NC[[#This Row],[ID]]))</f>
        <v>44.7</v>
      </c>
      <c r="R7" s="23">
        <f>TRUNC([CORR. BASE]*SETUP!$F$3,2)</f>
        <v>0.89</v>
      </c>
      <c r="S7" s="23">
        <f>TRUNC([CORR. BASE]*SETUP!$G$3,2)</f>
        <v>1.74</v>
      </c>
      <c r="T7" s="23">
        <f>[VL LIQUID]-[TX LIQUID]-[EMOL]-[REGISTRO]-[CORR. BASE]-[ISS]-[OUTRAS]</f>
        <v>-1182.2700000000002</v>
      </c>
      <c r="U7" s="23">
        <f>[LÍQUIDO]-SUMPRODUCT(N([DATA]=NC[[#This Row],[DATA]]),N([ID]=(NC[[#This Row],[ID]]-1)),[LÍQUIDO])</f>
        <v>-1146.1700000000003</v>
      </c>
      <c r="V7" s="23">
        <f>ABS(U7)/E7</f>
        <v>5.7308500000000011</v>
      </c>
      <c r="W7" s="23">
        <f>TRUNC(IF(OR([OPER/TIPO]="CV",[OPER/TIPO]="VV"),     L7*SETUP!$H$3,     0),2)</f>
        <v>0</v>
      </c>
      <c r="X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7" s="29">
        <f>IF(['[A/O']]="O",[LUCRO OP]*0.15,0)</f>
        <v>0</v>
      </c>
      <c r="AC7" s="28">
        <f>[LUCRO OP]/ABS([VALOR P/ OP])</f>
        <v>0</v>
      </c>
      <c r="AD7" s="23">
        <f>SUMPRODUCT(N(YEAR([D LIQUID])=YEAR(NC[[#This Row],[D LIQUID]])),N(MONTH([D LIQUID])=MONTH(NC[[#This Row],[D LIQUID]])),N(['[D/N']]="N"),[LUCRO OP])</f>
        <v>306.37500000000023</v>
      </c>
      <c r="AE7" s="23">
        <f>SUMPRODUCT(N(YEAR([D LIQUID])=YEAR(NC[[#This Row],[D LIQUID]])),N(MONTH([D LIQUID])=MONTH(NC[[#This Row],[D LIQUID]])),N(['[D/N']]="D"),[LUCRO OP])</f>
        <v>-36.1</v>
      </c>
      <c r="AF7" s="23">
        <f>[LUCRO N '[A']]+[LUCRO D]</f>
        <v>270.2750000000002</v>
      </c>
      <c r="AG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8" spans="1:33" s="21" customFormat="1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Row],[DATA]],IF(['[A/O']]="A",3,1))</f>
        <v>40900</v>
      </c>
      <c r="J8" s="21">
        <f>EOMONTH(NC[[#This Row],[D LIQUID]],0)</f>
        <v>40908</v>
      </c>
      <c r="K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8" s="23">
        <f>[QTDE]*[PREÇO]</f>
        <v>853.99999999999989</v>
      </c>
      <c r="M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853.99999999999989</v>
      </c>
      <c r="N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0.23</v>
      </c>
      <c r="O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8" s="23">
        <f>SETUP!$E$3*SUMPRODUCT(N([DATA]=NC[[#This Row],[DATA]]),N([ID]&lt;=NC[[#This Row],[ID]]))</f>
        <v>14.9</v>
      </c>
      <c r="R8" s="23">
        <f>TRUNC([CORR. BASE]*SETUP!$F$3,2)</f>
        <v>0.28999999999999998</v>
      </c>
      <c r="S8" s="23">
        <f>TRUNC([CORR. BASE]*SETUP!$G$3,2)</f>
        <v>0.57999999999999996</v>
      </c>
      <c r="T8" s="23">
        <f>[VL LIQUID]-[TX LIQUID]-[EMOL]-[REGISTRO]-[CORR. BASE]-[ISS]-[OUTRAS]</f>
        <v>837.94999999999993</v>
      </c>
      <c r="U8" s="23">
        <f>[LÍQUIDO]-SUMPRODUCT(N([DATA]=NC[[#This Row],[DATA]]),N([ID]=(NC[[#This Row],[ID]]-1)),[LÍQUIDO])</f>
        <v>837.94999999999993</v>
      </c>
      <c r="V8" s="23">
        <f>ABS(U8)/E8</f>
        <v>4.1897500000000001</v>
      </c>
      <c r="W8" s="23">
        <f>TRUNC(IF(OR([OPER/TIPO]="CV",[OPER/TIPO]="VV"),     L8*SETUP!$H$3,     0),2)</f>
        <v>0.04</v>
      </c>
      <c r="X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8" s="29">
        <f>IF(['[A/O']]="O",[LUCRO OP]*0.15,0)</f>
        <v>0</v>
      </c>
      <c r="AC8" s="28">
        <f>[LUCRO OP]/ABS([VALOR P/ OP])</f>
        <v>0</v>
      </c>
      <c r="AD8" s="23">
        <f>SUMPRODUCT(N(YEAR([D LIQUID])=YEAR(NC[[#This Row],[D LIQUID]])),N(MONTH([D LIQUID])=MONTH(NC[[#This Row],[D LIQUID]])),N(['[D/N']]="N"),[LUCRO OP])</f>
        <v>306.37500000000023</v>
      </c>
      <c r="AE8" s="23">
        <f>SUMPRODUCT(N(YEAR([D LIQUID])=YEAR(NC[[#This Row],[D LIQUID]])),N(MONTH([D LIQUID])=MONTH(NC[[#This Row],[D LIQUID]])),N(['[D/N']]="D"),[LUCRO OP])</f>
        <v>-36.1</v>
      </c>
      <c r="AF8" s="23">
        <f>[LUCRO N '[A']]+[LUCRO D]</f>
        <v>270.2750000000002</v>
      </c>
      <c r="AG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9" spans="1:33" s="21" customFormat="1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Row],[DATA]],IF(['[A/O']]="A",3,1))</f>
        <v>40905</v>
      </c>
      <c r="J9" s="21">
        <f>EOMONTH(NC[[#This Row],[D LIQUID]],0)</f>
        <v>40908</v>
      </c>
      <c r="K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9" s="23">
        <f>[QTDE]*[PREÇO]</f>
        <v>2358</v>
      </c>
      <c r="M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-2358</v>
      </c>
      <c r="N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0.64</v>
      </c>
      <c r="O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9" s="23">
        <f>SETUP!$E$3*SUMPRODUCT(N([DATA]=NC[[#This Row],[DATA]]),N([ID]&lt;=NC[[#This Row],[ID]]))</f>
        <v>14.9</v>
      </c>
      <c r="R9" s="23">
        <f>TRUNC([CORR. BASE]*SETUP!$F$3,2)</f>
        <v>0.28999999999999998</v>
      </c>
      <c r="S9" s="23">
        <f>TRUNC([CORR. BASE]*SETUP!$G$3,2)</f>
        <v>0.57999999999999996</v>
      </c>
      <c r="T9" s="23">
        <f>[VL LIQUID]-[TX LIQUID]-[EMOL]-[REGISTRO]-[CORR. BASE]-[ISS]-[OUTRAS]</f>
        <v>-2374.5699999999997</v>
      </c>
      <c r="U9" s="23">
        <f>[LÍQUIDO]-SUMPRODUCT(N([DATA]=NC[[#This Row],[DATA]]),N([ID]=(NC[[#This Row],[ID]]-1)),[LÍQUIDO])</f>
        <v>-2374.5699999999997</v>
      </c>
      <c r="V9" s="23">
        <f>ABS(U9)/E9</f>
        <v>7.9152333333333322</v>
      </c>
      <c r="W9" s="23">
        <f>TRUNC(IF(OR([OPER/TIPO]="CV",[OPER/TIPO]="VV"),     L9*SETUP!$H$3,     0),2)</f>
        <v>0</v>
      </c>
      <c r="X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</v>
      </c>
      <c r="Y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9" s="29">
        <f>IF(['[A/O']]="O",[LUCRO OP]*0.15,0)</f>
        <v>0</v>
      </c>
      <c r="AC9" s="28">
        <f>[LUCRO OP]/ABS([VALOR P/ OP])</f>
        <v>0</v>
      </c>
      <c r="AD9" s="23">
        <f>SUMPRODUCT(N(YEAR([D LIQUID])=YEAR(NC[[#This Row],[D LIQUID]])),N(MONTH([D LIQUID])=MONTH(NC[[#This Row],[D LIQUID]])),N(['[D/N']]="N"),[LUCRO OP])</f>
        <v>306.37500000000023</v>
      </c>
      <c r="AE9" s="23">
        <f>SUMPRODUCT(N(YEAR([D LIQUID])=YEAR(NC[[#This Row],[D LIQUID]])),N(MONTH([D LIQUID])=MONTH(NC[[#This Row],[D LIQUID]])),N(['[D/N']]="D"),[LUCRO OP])</f>
        <v>-36.1</v>
      </c>
      <c r="AF9" s="23">
        <f>[LUCRO N '[A']]+[LUCRO D]</f>
        <v>270.2750000000002</v>
      </c>
      <c r="AG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0" spans="1:33" s="21" customFormat="1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Row],[DATA]],IF(['[A/O']]="A",3,1))</f>
        <v>40906</v>
      </c>
      <c r="J10" s="21">
        <f>EOMONTH(NC[[#This Row],[D LIQUID]],0)</f>
        <v>40908</v>
      </c>
      <c r="K1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0" s="23">
        <f>[QTDE]*[PREÇO]</f>
        <v>690</v>
      </c>
      <c r="M1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690</v>
      </c>
      <c r="N1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0.18</v>
      </c>
      <c r="O1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0" s="23">
        <f>SETUP!$E$3*SUMPRODUCT(N([DATA]=NC[[#This Row],[DATA]]),N([ID]&lt;=NC[[#This Row],[ID]]))</f>
        <v>14.9</v>
      </c>
      <c r="R10" s="23">
        <f>TRUNC([CORR. BASE]*SETUP!$F$3,2)</f>
        <v>0.28999999999999998</v>
      </c>
      <c r="S10" s="23">
        <f>TRUNC([CORR. BASE]*SETUP!$G$3,2)</f>
        <v>0.57999999999999996</v>
      </c>
      <c r="T10" s="23">
        <f>[VL LIQUID]-[TX LIQUID]-[EMOL]-[REGISTRO]-[CORR. BASE]-[ISS]-[OUTRAS]</f>
        <v>674.0100000000001</v>
      </c>
      <c r="U10" s="23">
        <f>[LÍQUIDO]-SUMPRODUCT(N([DATA]=NC[[#This Row],[DATA]]),N([ID]=(NC[[#This Row],[ID]]-1)),[LÍQUIDO])</f>
        <v>674.0100000000001</v>
      </c>
      <c r="V10" s="23">
        <f>ABS(U10)/E10</f>
        <v>6.7401000000000009</v>
      </c>
      <c r="W10" s="23">
        <f>TRUNC(IF(OR([OPER/TIPO]="CV",[OPER/TIPO]="VV"),     L10*SETUP!$H$3,     0),2)</f>
        <v>0.03</v>
      </c>
      <c r="X1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100</v>
      </c>
      <c r="Y1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6.7401000000000009</v>
      </c>
      <c r="AA1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100.92499999999998</v>
      </c>
      <c r="AB10" s="29">
        <f>IF(['[A/O']]="O",[LUCRO OP]*0.15,0)</f>
        <v>0</v>
      </c>
      <c r="AC10" s="28">
        <f>[LUCRO OP]/ABS([VALOR P/ OP])</f>
        <v>0.14973813444904374</v>
      </c>
      <c r="AD10" s="23">
        <f>SUMPRODUCT(N(YEAR([D LIQUID])=YEAR(NC[[#This Row],[D LIQUID]])),N(MONTH([D LIQUID])=MONTH(NC[[#This Row],[D LIQUID]])),N(['[D/N']]="N"),[LUCRO OP])</f>
        <v>306.37500000000023</v>
      </c>
      <c r="AE10" s="23">
        <f>SUMPRODUCT(N(YEAR([D LIQUID])=YEAR(NC[[#This Row],[D LIQUID]])),N(MONTH([D LIQUID])=MONTH(NC[[#This Row],[D LIQUID]])),N(['[D/N']]="D"),[LUCRO OP])</f>
        <v>-36.1</v>
      </c>
      <c r="AF10" s="23">
        <f>[LUCRO N '[A']]+[LUCRO D]</f>
        <v>270.2750000000002</v>
      </c>
      <c r="AG1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4272</v>
      </c>
    </row>
    <row r="11" spans="1:33" s="21" customFormat="1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Row],[DATA]],IF(['[A/O']]="A",3,1))</f>
        <v>40913</v>
      </c>
      <c r="J11" s="21">
        <f>EOMONTH(NC[[#This Row],[D LIQUID]],0)</f>
        <v>40939</v>
      </c>
      <c r="K1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1" s="23">
        <f>[QTDE]*[PREÇO]</f>
        <v>583</v>
      </c>
      <c r="M1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583</v>
      </c>
      <c r="N1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0.16</v>
      </c>
      <c r="O1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1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1" s="23">
        <f>SETUP!$E$3*SUMPRODUCT(N([DATA]=NC[[#This Row],[DATA]]),N([ID]&lt;=NC[[#This Row],[ID]]))</f>
        <v>14.9</v>
      </c>
      <c r="R11" s="23">
        <f>TRUNC([CORR. BASE]*SETUP!$F$3,2)</f>
        <v>0.28999999999999998</v>
      </c>
      <c r="S11" s="23">
        <f>TRUNC([CORR. BASE]*SETUP!$G$3,2)</f>
        <v>0.57999999999999996</v>
      </c>
      <c r="T11" s="23">
        <f>[VL LIQUID]-[TX LIQUID]-[EMOL]-[REGISTRO]-[CORR. BASE]-[ISS]-[OUTRAS]</f>
        <v>567.03000000000009</v>
      </c>
      <c r="U11" s="23">
        <f>[LÍQUIDO]-SUMPRODUCT(N([DATA]=NC[[#This Row],[DATA]]),N([ID]=(NC[[#This Row],[ID]]-1)),[LÍQUIDO])</f>
        <v>567.03000000000009</v>
      </c>
      <c r="V11" s="23">
        <f>ABS(U11)/E11</f>
        <v>5.670300000000001</v>
      </c>
      <c r="W11" s="23">
        <f>TRUNC(IF(OR([OPER/TIPO]="CV",[OPER/TIPO]="VV"),     L11*SETUP!$H$3,     0),2)</f>
        <v>0.02</v>
      </c>
      <c r="X1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5.7308500000000011</v>
      </c>
      <c r="Z1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5.670300000000001</v>
      </c>
      <c r="AA1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-6.0550000000000104</v>
      </c>
      <c r="AB11" s="29">
        <f>IF(['[A/O']]="O",[LUCRO OP]*0.15,0)</f>
        <v>0</v>
      </c>
      <c r="AC11" s="28">
        <f>[LUCRO OP]/ABS([VALOR P/ OP])</f>
        <v>-1.0678447348464825E-2</v>
      </c>
      <c r="AD11" s="23">
        <f>SUMPRODUCT(N(YEAR([D LIQUID])=YEAR(NC[[#This Row],[D LIQUID]])),N(MONTH([D LIQUID])=MONTH(NC[[#This Row],[D LIQUID]])),N(['[D/N']]="N"),[LUCRO OP])</f>
        <v>-324.88500000000062</v>
      </c>
      <c r="AE11" s="23">
        <f>SUMPRODUCT(N(YEAR([D LIQUID])=YEAR(NC[[#This Row],[D LIQUID]])),N(MONTH([D LIQUID])=MONTH(NC[[#This Row],[D LIQUID]])),N(['[D/N']]="D"),[LUCRO OP])</f>
        <v>0</v>
      </c>
      <c r="AF11" s="23">
        <f>[LUCRO N '[A']]+[LUCRO D]</f>
        <v>-324.88500000000062</v>
      </c>
      <c r="AG1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2" spans="1:33" s="21" customFormat="1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Row],[DATA]],IF(['[A/O']]="A",3,1))</f>
        <v>40914</v>
      </c>
      <c r="J12" s="21">
        <f>EOMONTH(NC[[#This Row],[D LIQUID]],0)</f>
        <v>40939</v>
      </c>
      <c r="K1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2" s="23">
        <f>[QTDE]*[PREÇO]</f>
        <v>1160</v>
      </c>
      <c r="M1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-1160</v>
      </c>
      <c r="N1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0.31</v>
      </c>
      <c r="O1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1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2" s="23">
        <f>SETUP!$E$3*SUMPRODUCT(N([DATA]=NC[[#This Row],[DATA]]),N([ID]&lt;=NC[[#This Row],[ID]]))</f>
        <v>14.9</v>
      </c>
      <c r="R12" s="23">
        <f>TRUNC([CORR. BASE]*SETUP!$F$3,2)</f>
        <v>0.28999999999999998</v>
      </c>
      <c r="S12" s="23">
        <f>TRUNC([CORR. BASE]*SETUP!$G$3,2)</f>
        <v>0.57999999999999996</v>
      </c>
      <c r="T12" s="23">
        <f>[VL LIQUID]-[TX LIQUID]-[EMOL]-[REGISTRO]-[CORR. BASE]-[ISS]-[OUTRAS]</f>
        <v>-1176.1599999999999</v>
      </c>
      <c r="U12" s="23">
        <f>[LÍQUIDO]-SUMPRODUCT(N([DATA]=NC[[#This Row],[DATA]]),N([ID]=(NC[[#This Row],[ID]]-1)),[LÍQUIDO])</f>
        <v>-1176.1599999999999</v>
      </c>
      <c r="V12" s="23">
        <f>ABS(U12)/E12</f>
        <v>5.8807999999999989</v>
      </c>
      <c r="W12" s="23">
        <f>TRUNC(IF(OR([OPER/TIPO]="CV",[OPER/TIPO]="VV"),     L12*SETUP!$H$3,     0),2)</f>
        <v>0</v>
      </c>
      <c r="X1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1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12" s="29">
        <f>IF(['[A/O']]="O",[LUCRO OP]*0.15,0)</f>
        <v>0</v>
      </c>
      <c r="AC12" s="28">
        <f>[LUCRO OP]/ABS([VALOR P/ OP])</f>
        <v>0</v>
      </c>
      <c r="AD12" s="23">
        <f>SUMPRODUCT(N(YEAR([D LIQUID])=YEAR(NC[[#This Row],[D LIQUID]])),N(MONTH([D LIQUID])=MONTH(NC[[#This Row],[D LIQUID]])),N(['[D/N']]="N"),[LUCRO OP])</f>
        <v>-324.88500000000062</v>
      </c>
      <c r="AE12" s="23">
        <f>SUMPRODUCT(N(YEAR([D LIQUID])=YEAR(NC[[#This Row],[D LIQUID]])),N(MONTH([D LIQUID])=MONTH(NC[[#This Row],[D LIQUID]])),N(['[D/N']]="D"),[LUCRO OP])</f>
        <v>0</v>
      </c>
      <c r="AF12" s="23">
        <f>[LUCRO N '[A']]+[LUCRO D]</f>
        <v>-324.88500000000062</v>
      </c>
      <c r="AG1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3" spans="1:33" s="21" customFormat="1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Row],[DATA]],IF(['[A/O']]="A",3,1))</f>
        <v>40925</v>
      </c>
      <c r="J13" s="21">
        <f>EOMONTH(NC[[#This Row],[D LIQUID]],0)</f>
        <v>40939</v>
      </c>
      <c r="K1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3" s="23">
        <f>[QTDE]*[PREÇO]</f>
        <v>2711.9999999999995</v>
      </c>
      <c r="M1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2711.9999999999995</v>
      </c>
      <c r="N1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0.74</v>
      </c>
      <c r="O1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1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3" s="23">
        <f>SETUP!$E$3*SUMPRODUCT(N([DATA]=NC[[#This Row],[DATA]]),N([ID]&lt;=NC[[#This Row],[ID]]))</f>
        <v>14.9</v>
      </c>
      <c r="R13" s="23">
        <f>TRUNC([CORR. BASE]*SETUP!$F$3,2)</f>
        <v>0.28999999999999998</v>
      </c>
      <c r="S13" s="23">
        <f>TRUNC([CORR. BASE]*SETUP!$G$3,2)</f>
        <v>0.57999999999999996</v>
      </c>
      <c r="T13" s="23">
        <f>[VL LIQUID]-[TX LIQUID]-[EMOL]-[REGISTRO]-[CORR. BASE]-[ISS]-[OUTRAS]</f>
        <v>2695.31</v>
      </c>
      <c r="U13" s="23">
        <f>[LÍQUIDO]-SUMPRODUCT(N([DATA]=NC[[#This Row],[DATA]]),N([ID]=(NC[[#This Row],[ID]]-1)),[LÍQUIDO])</f>
        <v>2695.31</v>
      </c>
      <c r="V13" s="23">
        <f>ABS(U13)/E13</f>
        <v>8.9843666666666664</v>
      </c>
      <c r="W13" s="23">
        <f>TRUNC(IF(OR([OPER/TIPO]="CV",[OPER/TIPO]="VV"),     L13*SETUP!$H$3,     0),2)</f>
        <v>0.13</v>
      </c>
      <c r="X1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-300</v>
      </c>
      <c r="Y1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1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13" s="29">
        <f>IF(['[A/O']]="O",[LUCRO OP]*0.15,0)</f>
        <v>0</v>
      </c>
      <c r="AC13" s="28">
        <f>[LUCRO OP]/ABS([VALOR P/ OP])</f>
        <v>0</v>
      </c>
      <c r="AD13" s="23">
        <f>SUMPRODUCT(N(YEAR([D LIQUID])=YEAR(NC[[#This Row],[D LIQUID]])),N(MONTH([D LIQUID])=MONTH(NC[[#This Row],[D LIQUID]])),N(['[D/N']]="N"),[LUCRO OP])</f>
        <v>-324.88500000000062</v>
      </c>
      <c r="AE13" s="23">
        <f>SUMPRODUCT(N(YEAR([D LIQUID])=YEAR(NC[[#This Row],[D LIQUID]])),N(MONTH([D LIQUID])=MONTH(NC[[#This Row],[D LIQUID]])),N(['[D/N']]="D"),[LUCRO OP])</f>
        <v>0</v>
      </c>
      <c r="AF13" s="23">
        <f>[LUCRO N '[A']]+[LUCRO D]</f>
        <v>-324.88500000000062</v>
      </c>
      <c r="AG1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4" spans="1:33" s="21" customFormat="1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Row],[DATA]],IF(['[A/O']]="A",3,1))</f>
        <v>40925</v>
      </c>
      <c r="J14" s="21">
        <f>EOMONTH(NC[[#This Row],[D LIQUID]],0)</f>
        <v>40939</v>
      </c>
      <c r="K1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14" s="23">
        <f>[QTDE]*[PREÇO]</f>
        <v>1112</v>
      </c>
      <c r="M1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3823.9999999999995</v>
      </c>
      <c r="N1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1.05</v>
      </c>
      <c r="O1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4" s="23">
        <f>SETUP!$E$3*SUMPRODUCT(N([DATA]=NC[[#This Row],[DATA]]),N([ID]&lt;=NC[[#This Row],[ID]]))</f>
        <v>29.8</v>
      </c>
      <c r="R14" s="23">
        <f>TRUNC([CORR. BASE]*SETUP!$F$3,2)</f>
        <v>0.59</v>
      </c>
      <c r="S14" s="23">
        <f>TRUNC([CORR. BASE]*SETUP!$G$3,2)</f>
        <v>1.1599999999999999</v>
      </c>
      <c r="T14" s="23">
        <f>[VL LIQUID]-[TX LIQUID]-[EMOL]-[REGISTRO]-[CORR. BASE]-[ISS]-[OUTRAS]</f>
        <v>3791.139999999999</v>
      </c>
      <c r="U14" s="23">
        <f>[LÍQUIDO]-SUMPRODUCT(N([DATA]=NC[[#This Row],[DATA]]),N([ID]=(NC[[#This Row],[ID]]-1)),[LÍQUIDO])</f>
        <v>1095.829999999999</v>
      </c>
      <c r="V14" s="23">
        <f>ABS(U14)/E14</f>
        <v>5.4791499999999953</v>
      </c>
      <c r="W14" s="23">
        <f>TRUNC(IF(OR([OPER/TIPO]="CV",[OPER/TIPO]="VV"),     L14*SETUP!$H$3,     0),2)</f>
        <v>0.05</v>
      </c>
      <c r="X1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5.8807999999999989</v>
      </c>
      <c r="Z1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5.4791499999999953</v>
      </c>
      <c r="AA1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-80.330000000000723</v>
      </c>
      <c r="AB14" s="29">
        <f>IF(['[A/O']]="O",[LUCRO OP]*0.15,0)</f>
        <v>0</v>
      </c>
      <c r="AC14" s="28">
        <f>[LUCRO OP]/ABS([VALOR P/ OP])</f>
        <v>-7.3305165947273571E-2</v>
      </c>
      <c r="AD14" s="23">
        <f>SUMPRODUCT(N(YEAR([D LIQUID])=YEAR(NC[[#This Row],[D LIQUID]])),N(MONTH([D LIQUID])=MONTH(NC[[#This Row],[D LIQUID]])),N(['[D/N']]="N"),[LUCRO OP])</f>
        <v>-324.88500000000062</v>
      </c>
      <c r="AE14" s="23">
        <f>SUMPRODUCT(N(YEAR([D LIQUID])=YEAR(NC[[#This Row],[D LIQUID]])),N(MONTH([D LIQUID])=MONTH(NC[[#This Row],[D LIQUID]])),N(['[D/N']]="D"),[LUCRO OP])</f>
        <v>0</v>
      </c>
      <c r="AF14" s="23">
        <f>[LUCRO N '[A']]+[LUCRO D]</f>
        <v>-324.88500000000062</v>
      </c>
      <c r="AG1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5" spans="1:33" s="21" customFormat="1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Row],[DATA]],IF(['[A/O']]="A",3,1))</f>
        <v>40932</v>
      </c>
      <c r="J15" s="21">
        <f>EOMONTH(NC[[#This Row],[D LIQUID]],0)</f>
        <v>40939</v>
      </c>
      <c r="K1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5" s="23">
        <f>[QTDE]*[PREÇO]</f>
        <v>1000</v>
      </c>
      <c r="M1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-1000</v>
      </c>
      <c r="N1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0.27</v>
      </c>
      <c r="O1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1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5" s="23">
        <f>SETUP!$E$3*SUMPRODUCT(N([DATA]=NC[[#This Row],[DATA]]),N([ID]&lt;=NC[[#This Row],[ID]]))</f>
        <v>14.9</v>
      </c>
      <c r="R15" s="23">
        <f>TRUNC([CORR. BASE]*SETUP!$F$3,2)</f>
        <v>0.28999999999999998</v>
      </c>
      <c r="S15" s="23">
        <f>TRUNC([CORR. BASE]*SETUP!$G$3,2)</f>
        <v>0.57999999999999996</v>
      </c>
      <c r="T15" s="23">
        <f>[VL LIQUID]-[TX LIQUID]-[EMOL]-[REGISTRO]-[CORR. BASE]-[ISS]-[OUTRAS]</f>
        <v>-1016.11</v>
      </c>
      <c r="U15" s="23">
        <f>[LÍQUIDO]-SUMPRODUCT(N([DATA]=NC[[#This Row],[DATA]]),N([ID]=(NC[[#This Row],[ID]]-1)),[LÍQUIDO])</f>
        <v>-1016.11</v>
      </c>
      <c r="V15" s="23">
        <f>ABS(U15)/E15</f>
        <v>0.50805500000000003</v>
      </c>
      <c r="W15" s="23">
        <f>TRUNC(IF(OR([OPER/TIPO]="CV",[OPER/TIPO]="VV"),     L15*SETUP!$H$3,     0),2)</f>
        <v>0</v>
      </c>
      <c r="X1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2000</v>
      </c>
      <c r="Y1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1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15" s="29">
        <f>IF(['[A/O']]="O",[LUCRO OP]*0.15,0)</f>
        <v>0</v>
      </c>
      <c r="AC15" s="28">
        <f>[LUCRO OP]/ABS([VALOR P/ OP])</f>
        <v>0</v>
      </c>
      <c r="AD15" s="23">
        <f>SUMPRODUCT(N(YEAR([D LIQUID])=YEAR(NC[[#This Row],[D LIQUID]])),N(MONTH([D LIQUID])=MONTH(NC[[#This Row],[D LIQUID]])),N(['[D/N']]="N"),[LUCRO OP])</f>
        <v>-324.88500000000062</v>
      </c>
      <c r="AE15" s="23">
        <f>SUMPRODUCT(N(YEAR([D LIQUID])=YEAR(NC[[#This Row],[D LIQUID]])),N(MONTH([D LIQUID])=MONTH(NC[[#This Row],[D LIQUID]])),N(['[D/N']]="D"),[LUCRO OP])</f>
        <v>0</v>
      </c>
      <c r="AF15" s="23">
        <f>[LUCRO N '[A']]+[LUCRO D]</f>
        <v>-324.88500000000062</v>
      </c>
      <c r="AG1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6" spans="1:33" s="21" customFormat="1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Row],[DATA]],IF(['[A/O']]="A",3,1))</f>
        <v>40935</v>
      </c>
      <c r="J16" s="21">
        <f>EOMONTH(NC[[#This Row],[D LIQUID]],0)</f>
        <v>40939</v>
      </c>
      <c r="K1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6" s="23">
        <f>[QTDE]*[PREÇO]</f>
        <v>789</v>
      </c>
      <c r="M1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789</v>
      </c>
      <c r="N1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0.21</v>
      </c>
      <c r="O1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1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6" s="23">
        <f>SETUP!$E$3*SUMPRODUCT(N([DATA]=NC[[#This Row],[DATA]]),N([ID]&lt;=NC[[#This Row],[ID]]))</f>
        <v>14.9</v>
      </c>
      <c r="R16" s="23">
        <f>TRUNC([CORR. BASE]*SETUP!$F$3,2)</f>
        <v>0.28999999999999998</v>
      </c>
      <c r="S16" s="23">
        <f>TRUNC([CORR. BASE]*SETUP!$G$3,2)</f>
        <v>0.57999999999999996</v>
      </c>
      <c r="T16" s="23">
        <f>[VL LIQUID]-[TX LIQUID]-[EMOL]-[REGISTRO]-[CORR. BASE]-[ISS]-[OUTRAS]</f>
        <v>772.97</v>
      </c>
      <c r="U16" s="23">
        <f>[LÍQUIDO]-SUMPRODUCT(N([DATA]=NC[[#This Row],[DATA]]),N([ID]=(NC[[#This Row],[ID]]-1)),[LÍQUIDO])</f>
        <v>772.97</v>
      </c>
      <c r="V16" s="23">
        <f>ABS(U16)/E16</f>
        <v>7.7297000000000002</v>
      </c>
      <c r="W16" s="23">
        <f>TRUNC(IF(OR([OPER/TIPO]="CV",[OPER/TIPO]="VV"),     L16*SETUP!$H$3,     0),2)</f>
        <v>0.03</v>
      </c>
      <c r="X1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8.6104999999999983</v>
      </c>
      <c r="Z1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7.7297000000000002</v>
      </c>
      <c r="AA1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-88.079999999999799</v>
      </c>
      <c r="AB16" s="29">
        <f>IF(['[A/O']]="O",[LUCRO OP]*0.15,0)</f>
        <v>0</v>
      </c>
      <c r="AC16" s="28">
        <f>[LUCRO OP]/ABS([VALOR P/ OP])</f>
        <v>-0.11395008861922169</v>
      </c>
      <c r="AD16" s="23">
        <f>SUMPRODUCT(N(YEAR([D LIQUID])=YEAR(NC[[#This Row],[D LIQUID]])),N(MONTH([D LIQUID])=MONTH(NC[[#This Row],[D LIQUID]])),N(['[D/N']]="N"),[LUCRO OP])</f>
        <v>-324.88500000000062</v>
      </c>
      <c r="AE16" s="23">
        <f>SUMPRODUCT(N(YEAR([D LIQUID])=YEAR(NC[[#This Row],[D LIQUID]])),N(MONTH([D LIQUID])=MONTH(NC[[#This Row],[D LIQUID]])),N(['[D/N']]="D"),[LUCRO OP])</f>
        <v>0</v>
      </c>
      <c r="AF16" s="23">
        <f>[LUCRO N '[A']]+[LUCRO D]</f>
        <v>-324.88500000000062</v>
      </c>
      <c r="AG1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7" spans="1:33" s="21" customFormat="1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Row],[DATA]],IF(['[A/O']]="A",3,1))</f>
        <v>40939</v>
      </c>
      <c r="J17" s="21">
        <f>EOMONTH(NC[[#This Row],[D LIQUID]],0)</f>
        <v>40939</v>
      </c>
      <c r="K1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17" s="23">
        <f>[QTDE]*[PREÇO]</f>
        <v>2829</v>
      </c>
      <c r="M1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-2829</v>
      </c>
      <c r="N1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0.77</v>
      </c>
      <c r="O1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0.19</v>
      </c>
      <c r="P1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7" s="23">
        <f>SETUP!$E$3*SUMPRODUCT(N([DATA]=NC[[#This Row],[DATA]]),N([ID]&lt;=NC[[#This Row],[ID]]))</f>
        <v>14.9</v>
      </c>
      <c r="R17" s="23">
        <f>TRUNC([CORR. BASE]*SETUP!$F$3,2)</f>
        <v>0.28999999999999998</v>
      </c>
      <c r="S17" s="23">
        <f>TRUNC([CORR. BASE]*SETUP!$G$3,2)</f>
        <v>0.57999999999999996</v>
      </c>
      <c r="T17" s="23">
        <f>[VL LIQUID]-[TX LIQUID]-[EMOL]-[REGISTRO]-[CORR. BASE]-[ISS]-[OUTRAS]</f>
        <v>-2845.73</v>
      </c>
      <c r="U17" s="23">
        <f>[LÍQUIDO]-SUMPRODUCT(N([DATA]=NC[[#This Row],[DATA]]),N([ID]=(NC[[#This Row],[ID]]-1)),[LÍQUIDO])</f>
        <v>-2845.73</v>
      </c>
      <c r="V17" s="23">
        <f>ABS(U17)/E17</f>
        <v>9.4857666666666667</v>
      </c>
      <c r="W17" s="23">
        <f>TRUNC(IF(OR([OPER/TIPO]="CV",[OPER/TIPO]="VV"),     L17*SETUP!$H$3,     0),2)</f>
        <v>0</v>
      </c>
      <c r="X1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9.4857666666666667</v>
      </c>
      <c r="Z1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8.9843666666666664</v>
      </c>
      <c r="AA1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-150.42000000000007</v>
      </c>
      <c r="AB17" s="29">
        <f>IF(['[A/O']]="O",[LUCRO OP]*0.15,0)</f>
        <v>0</v>
      </c>
      <c r="AC17" s="28">
        <f>[LUCRO OP]/ABS([VALOR P/ OP])</f>
        <v>-5.2858141847610306E-2</v>
      </c>
      <c r="AD17" s="23">
        <f>SUMPRODUCT(N(YEAR([D LIQUID])=YEAR(NC[[#This Row],[D LIQUID]])),N(MONTH([D LIQUID])=MONTH(NC[[#This Row],[D LIQUID]])),N(['[D/N']]="N"),[LUCRO OP])</f>
        <v>-324.88500000000062</v>
      </c>
      <c r="AE17" s="23">
        <f>SUMPRODUCT(N(YEAR([D LIQUID])=YEAR(NC[[#This Row],[D LIQUID]])),N(MONTH([D LIQUID])=MONTH(NC[[#This Row],[D LIQUID]])),N(['[D/N']]="D"),[LUCRO OP])</f>
        <v>0</v>
      </c>
      <c r="AF17" s="23">
        <f>[LUCRO N '[A']]+[LUCRO D]</f>
        <v>-324.88500000000062</v>
      </c>
      <c r="AG1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8" spans="1:33" s="21" customFormat="1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Row],[DATA]],IF(['[A/O']]="A",3,1))</f>
        <v>40939</v>
      </c>
      <c r="J18" s="21">
        <f>EOMONTH(NC[[#This Row],[D LIQUID]],0)</f>
        <v>40939</v>
      </c>
      <c r="K1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8" s="23">
        <f>[QTDE]*[PREÇO]</f>
        <v>989</v>
      </c>
      <c r="M1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-3818</v>
      </c>
      <c r="N1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1.04</v>
      </c>
      <c r="O1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0.26</v>
      </c>
      <c r="P1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8" s="23">
        <f>SETUP!$E$3*SUMPRODUCT(N([DATA]=NC[[#This Row],[DATA]]),N([ID]&lt;=NC[[#This Row],[ID]]))</f>
        <v>29.8</v>
      </c>
      <c r="R18" s="23">
        <f>TRUNC([CORR. BASE]*SETUP!$F$3,2)</f>
        <v>0.59</v>
      </c>
      <c r="S18" s="23">
        <f>TRUNC([CORR. BASE]*SETUP!$G$3,2)</f>
        <v>1.1599999999999999</v>
      </c>
      <c r="T18" s="23">
        <f>[VL LIQUID]-[TX LIQUID]-[EMOL]-[REGISTRO]-[CORR. BASE]-[ISS]-[OUTRAS]</f>
        <v>-3850.8500000000004</v>
      </c>
      <c r="U18" s="23">
        <f>[LÍQUIDO]-SUMPRODUCT(N([DATA]=NC[[#This Row],[DATA]]),N([ID]=(NC[[#This Row],[ID]]-1)),[LÍQUIDO])</f>
        <v>-1005.1200000000003</v>
      </c>
      <c r="V18" s="23">
        <f>ABS(U18)/E18</f>
        <v>0.43700869565217404</v>
      </c>
      <c r="W18" s="23">
        <f>TRUNC(IF(OR([OPER/TIPO]="CV",[OPER/TIPO]="VV"),     L18*SETUP!$H$3,     0),2)</f>
        <v>0</v>
      </c>
      <c r="X1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2300</v>
      </c>
      <c r="Y1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0.43700869565217404</v>
      </c>
      <c r="Z1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1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18" s="29">
        <f>IF(['[A/O']]="O",[LUCRO OP]*0.15,0)</f>
        <v>0</v>
      </c>
      <c r="AC18" s="28">
        <f>[LUCRO OP]/ABS([VALOR P/ OP])</f>
        <v>0</v>
      </c>
      <c r="AD18" s="23">
        <f>SUMPRODUCT(N(YEAR([D LIQUID])=YEAR(NC[[#This Row],[D LIQUID]])),N(MONTH([D LIQUID])=MONTH(NC[[#This Row],[D LIQUID]])),N(['[D/N']]="N"),[LUCRO OP])</f>
        <v>-324.88500000000062</v>
      </c>
      <c r="AE18" s="23">
        <f>SUMPRODUCT(N(YEAR([D LIQUID])=YEAR(NC[[#This Row],[D LIQUID]])),N(MONTH([D LIQUID])=MONTH(NC[[#This Row],[D LIQUID]])),N(['[D/N']]="D"),[LUCRO OP])</f>
        <v>0</v>
      </c>
      <c r="AF18" s="23">
        <f>[LUCRO N '[A']]+[LUCRO D]</f>
        <v>-324.88500000000062</v>
      </c>
      <c r="AG1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5196</v>
      </c>
    </row>
    <row r="19" spans="1:33" s="21" customFormat="1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Row],[DATA]],IF(['[A/O']]="A",3,1))</f>
        <v>40942</v>
      </c>
      <c r="J19" s="21">
        <f>EOMONTH(NC[[#This Row],[D LIQUID]],0)</f>
        <v>40968</v>
      </c>
      <c r="K1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19" s="23">
        <f>[QTDE]*[PREÇO]</f>
        <v>952</v>
      </c>
      <c r="M1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-952</v>
      </c>
      <c r="N1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1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1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19" s="23">
        <f>SETUP!$E$3*SUMPRODUCT(N([DATA]=NC[[#This Row],[DATA]]),N([ID]&lt;=NC[[#This Row],[ID]]))</f>
        <v>14.9</v>
      </c>
      <c r="R19" s="23">
        <f>TRUNC([CORR. BASE]*SETUP!$F$3,2)</f>
        <v>0.28999999999999998</v>
      </c>
      <c r="S19" s="23">
        <f>TRUNC([CORR. BASE]*SETUP!$G$3,2)</f>
        <v>0.57999999999999996</v>
      </c>
      <c r="T19" s="23">
        <f>[VL LIQUID]-[TX LIQUID]-[EMOL]-[REGISTRO]-[CORR. BASE]-[ISS]-[OUTRAS]</f>
        <v>-968.08999999999992</v>
      </c>
      <c r="U19" s="23">
        <f>[LÍQUIDO]-SUMPRODUCT(N([DATA]=NC[[#This Row],[DATA]]),N([ID]=(NC[[#This Row],[ID]]-1)),[LÍQUIDO])</f>
        <v>-968.08999999999992</v>
      </c>
      <c r="V19" s="23">
        <f>ABS(U19)/E19</f>
        <v>4.8404499999999997</v>
      </c>
      <c r="W19" s="23">
        <f>TRUNC(IF(OR([OPER/TIPO]="CV",[OPER/TIPO]="VV"),     L19*SETUP!$H$3,     0),2)</f>
        <v>0</v>
      </c>
      <c r="X1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1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4.8404499999999997</v>
      </c>
      <c r="Z1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4.1897500000000001</v>
      </c>
      <c r="AA1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-130.13999999999993</v>
      </c>
      <c r="AB19" s="29">
        <f>IF(['[A/O']]="O",[LUCRO OP]*0.15,0)</f>
        <v>0</v>
      </c>
      <c r="AC19" s="28">
        <f>[LUCRO OP]/ABS([VALOR P/ OP])</f>
        <v>-0.13442965013583441</v>
      </c>
      <c r="AD19" s="23">
        <f>SUMPRODUCT(N(YEAR([D LIQUID])=YEAR(NC[[#This Row],[D LIQUID]])),N(MONTH([D LIQUID])=MONTH(NC[[#This Row],[D LIQUID]])),N(['[D/N']]="N"),[LUCRO OP])</f>
        <v>-467.17999999999961</v>
      </c>
      <c r="AE19" s="23">
        <f>SUMPRODUCT(N(YEAR([D LIQUID])=YEAR(NC[[#This Row],[D LIQUID]])),N(MONTH([D LIQUID])=MONTH(NC[[#This Row],[D LIQUID]])),N(['[D/N']]="D"),[LUCRO OP])</f>
        <v>0</v>
      </c>
      <c r="AF19" s="23">
        <f>[LUCRO N '[A']]+[LUCRO D]</f>
        <v>-467.17999999999961</v>
      </c>
      <c r="AG1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0" spans="1:33" s="21" customFormat="1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Row],[DATA]],IF(['[A/O']]="A",3,1))</f>
        <v>40948</v>
      </c>
      <c r="J20" s="21">
        <f>EOMONTH(NC[[#This Row],[D LIQUID]],0)</f>
        <v>40968</v>
      </c>
      <c r="K2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0" s="23">
        <f>[QTDE]*[PREÇO]</f>
        <v>2310</v>
      </c>
      <c r="M2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2310</v>
      </c>
      <c r="N2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0.63</v>
      </c>
      <c r="O2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0.16</v>
      </c>
      <c r="P2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0" s="23">
        <f>SETUP!$E$3*SUMPRODUCT(N([DATA]=NC[[#This Row],[DATA]]),N([ID]&lt;=NC[[#This Row],[ID]]))</f>
        <v>14.9</v>
      </c>
      <c r="R20" s="23">
        <f>TRUNC([CORR. BASE]*SETUP!$F$3,2)</f>
        <v>0.28999999999999998</v>
      </c>
      <c r="S20" s="23">
        <f>TRUNC([CORR. BASE]*SETUP!$G$3,2)</f>
        <v>0.57999999999999996</v>
      </c>
      <c r="T20" s="23">
        <f>[VL LIQUID]-[TX LIQUID]-[EMOL]-[REGISTRO]-[CORR. BASE]-[ISS]-[OUTRAS]</f>
        <v>2293.44</v>
      </c>
      <c r="U20" s="23">
        <f>[LÍQUIDO]-SUMPRODUCT(N([DATA]=NC[[#This Row],[DATA]]),N([ID]=(NC[[#This Row],[ID]]-1)),[LÍQUIDO])</f>
        <v>2293.44</v>
      </c>
      <c r="V20" s="23">
        <f>ABS(U20)/E20</f>
        <v>7.6448</v>
      </c>
      <c r="W20" s="23">
        <f>TRUNC(IF(OR([OPER/TIPO]="CV",[OPER/TIPO]="VV"),     L20*SETUP!$H$3,     0),2)</f>
        <v>0.11</v>
      </c>
      <c r="X2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7.9152333333333322</v>
      </c>
      <c r="Z2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7.6448</v>
      </c>
      <c r="AA2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-81.129999999999654</v>
      </c>
      <c r="AB20" s="29">
        <f>IF(['[A/O']]="O",[LUCRO OP]*0.15,0)</f>
        <v>0</v>
      </c>
      <c r="AC20" s="28">
        <f>[LUCRO OP]/ABS([VALOR P/ OP])</f>
        <v>-3.5374808148458059E-2</v>
      </c>
      <c r="AD20" s="23">
        <f>SUMPRODUCT(N(YEAR([D LIQUID])=YEAR(NC[[#This Row],[D LIQUID]])),N(MONTH([D LIQUID])=MONTH(NC[[#This Row],[D LIQUID]])),N(['[D/N']]="N"),[LUCRO OP])</f>
        <v>-467.17999999999961</v>
      </c>
      <c r="AE20" s="23">
        <f>SUMPRODUCT(N(YEAR([D LIQUID])=YEAR(NC[[#This Row],[D LIQUID]])),N(MONTH([D LIQUID])=MONTH(NC[[#This Row],[D LIQUID]])),N(['[D/N']]="D"),[LUCRO OP])</f>
        <v>0</v>
      </c>
      <c r="AF20" s="23">
        <f>[LUCRO N '[A']]+[LUCRO D]</f>
        <v>-467.17999999999961</v>
      </c>
      <c r="AG2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1" spans="1:33" s="21" customFormat="1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Row],[DATA]],IF(['[A/O']]="A",3,1))</f>
        <v>40948</v>
      </c>
      <c r="J21" s="21">
        <f>EOMONTH(NC[[#This Row],[D LIQUID]],0)</f>
        <v>40968</v>
      </c>
      <c r="K2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1" s="23">
        <f>[QTDE]*[PREÇO]</f>
        <v>1369</v>
      </c>
      <c r="M2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941</v>
      </c>
      <c r="N2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1.01</v>
      </c>
      <c r="O2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0.25</v>
      </c>
      <c r="P2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1" s="23">
        <f>SETUP!$E$3*SUMPRODUCT(N([DATA]=NC[[#This Row],[DATA]]),N([ID]&lt;=NC[[#This Row],[ID]]))</f>
        <v>29.8</v>
      </c>
      <c r="R21" s="23">
        <f>TRUNC([CORR. BASE]*SETUP!$F$3,2)</f>
        <v>0.59</v>
      </c>
      <c r="S21" s="23">
        <f>TRUNC([CORR. BASE]*SETUP!$G$3,2)</f>
        <v>1.1599999999999999</v>
      </c>
      <c r="T21" s="23">
        <f>[VL LIQUID]-[TX LIQUID]-[EMOL]-[REGISTRO]-[CORR. BASE]-[ISS]-[OUTRAS]</f>
        <v>908.19</v>
      </c>
      <c r="U21" s="23">
        <f>[LÍQUIDO]-SUMPRODUCT(N([DATA]=NC[[#This Row],[DATA]]),N([ID]=(NC[[#This Row],[ID]]-1)),[LÍQUIDO])</f>
        <v>-1385.25</v>
      </c>
      <c r="V21" s="23">
        <f>ABS(U21)/E21</f>
        <v>0.37439189189189187</v>
      </c>
      <c r="W21" s="23">
        <f>TRUNC(IF(OR([OPER/TIPO]="CV",[OPER/TIPO]="VV"),     L21*SETUP!$H$3,     0),2)</f>
        <v>0</v>
      </c>
      <c r="X2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6000</v>
      </c>
      <c r="Y2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21" s="29">
        <f>IF(['[A/O']]="O",[LUCRO OP]*0.15,0)</f>
        <v>0</v>
      </c>
      <c r="AC21" s="28">
        <f>[LUCRO OP]/ABS([VALOR P/ OP])</f>
        <v>0</v>
      </c>
      <c r="AD21" s="23">
        <f>SUMPRODUCT(N(YEAR([D LIQUID])=YEAR(NC[[#This Row],[D LIQUID]])),N(MONTH([D LIQUID])=MONTH(NC[[#This Row],[D LIQUID]])),N(['[D/N']]="N"),[LUCRO OP])</f>
        <v>-467.17999999999961</v>
      </c>
      <c r="AE21" s="23">
        <f>SUMPRODUCT(N(YEAR([D LIQUID])=YEAR(NC[[#This Row],[D LIQUID]])),N(MONTH([D LIQUID])=MONTH(NC[[#This Row],[D LIQUID]])),N(['[D/N']]="D"),[LUCRO OP])</f>
        <v>0</v>
      </c>
      <c r="AF21" s="23">
        <f>[LUCRO N '[A']]+[LUCRO D]</f>
        <v>-467.17999999999961</v>
      </c>
      <c r="AG2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2" spans="1:33" s="21" customFormat="1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Row],[DATA]],IF(['[A/O']]="A",3,1))</f>
        <v>40948</v>
      </c>
      <c r="J22" s="21">
        <f>EOMONTH(NC[[#This Row],[D LIQUID]],0)</f>
        <v>40968</v>
      </c>
      <c r="K2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2" s="23">
        <f>[QTDE]*[PREÇO]</f>
        <v>1185</v>
      </c>
      <c r="M2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-244</v>
      </c>
      <c r="N2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1.33</v>
      </c>
      <c r="O2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0.34</v>
      </c>
      <c r="P2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2" s="23">
        <f>SETUP!$E$3*SUMPRODUCT(N([DATA]=NC[[#This Row],[DATA]]),N([ID]&lt;=NC[[#This Row],[ID]]))</f>
        <v>44.7</v>
      </c>
      <c r="R22" s="23">
        <f>TRUNC([CORR. BASE]*SETUP!$F$3,2)</f>
        <v>0.89</v>
      </c>
      <c r="S22" s="23">
        <f>TRUNC([CORR. BASE]*SETUP!$G$3,2)</f>
        <v>1.74</v>
      </c>
      <c r="T22" s="23">
        <f>[VL LIQUID]-[TX LIQUID]-[EMOL]-[REGISTRO]-[CORR. BASE]-[ISS]-[OUTRAS]</f>
        <v>-293</v>
      </c>
      <c r="U22" s="23">
        <f>[LÍQUIDO]-SUMPRODUCT(N([DATA]=NC[[#This Row],[DATA]]),N([ID]=(NC[[#This Row],[ID]]-1)),[LÍQUIDO])</f>
        <v>-1201.19</v>
      </c>
      <c r="V22" s="23">
        <f>ABS(U22)/E22</f>
        <v>2.40238</v>
      </c>
      <c r="W22" s="23">
        <f>TRUNC(IF(OR([OPER/TIPO]="CV",[OPER/TIPO]="VV"),     L22*SETUP!$H$3,     0),2)</f>
        <v>0</v>
      </c>
      <c r="X2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2.40238</v>
      </c>
      <c r="Z2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22" s="29">
        <f>IF(['[A/O']]="O",[LUCRO OP]*0.15,0)</f>
        <v>0</v>
      </c>
      <c r="AC22" s="28">
        <f>[LUCRO OP]/ABS([VALOR P/ OP])</f>
        <v>0</v>
      </c>
      <c r="AD22" s="23">
        <f>SUMPRODUCT(N(YEAR([D LIQUID])=YEAR(NC[[#This Row],[D LIQUID]])),N(MONTH([D LIQUID])=MONTH(NC[[#This Row],[D LIQUID]])),N(['[D/N']]="N"),[LUCRO OP])</f>
        <v>-467.17999999999961</v>
      </c>
      <c r="AE22" s="23">
        <f>SUMPRODUCT(N(YEAR([D LIQUID])=YEAR(NC[[#This Row],[D LIQUID]])),N(MONTH([D LIQUID])=MONTH(NC[[#This Row],[D LIQUID]])),N(['[D/N']]="D"),[LUCRO OP])</f>
        <v>0</v>
      </c>
      <c r="AF22" s="23">
        <f>[LUCRO N '[A']]+[LUCRO D]</f>
        <v>-467.17999999999961</v>
      </c>
      <c r="AG2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3" spans="1:33" s="21" customFormat="1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Row],[DATA]],IF(['[A/O']]="A",3,1))</f>
        <v>40953</v>
      </c>
      <c r="J23" s="21">
        <f>EOMONTH(NC[[#This Row],[D LIQUID]],0)</f>
        <v>40968</v>
      </c>
      <c r="K23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3" s="23">
        <f>[QTDE]*[PREÇO]</f>
        <v>640</v>
      </c>
      <c r="M23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640</v>
      </c>
      <c r="N23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0.17</v>
      </c>
      <c r="O23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0.04</v>
      </c>
      <c r="P23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3" s="23">
        <f>SETUP!$E$3*SUMPRODUCT(N([DATA]=NC[[#This Row],[DATA]]),N([ID]&lt;=NC[[#This Row],[ID]]))</f>
        <v>14.9</v>
      </c>
      <c r="R23" s="23">
        <f>TRUNC([CORR. BASE]*SETUP!$F$3,2)</f>
        <v>0.28999999999999998</v>
      </c>
      <c r="S23" s="23">
        <f>TRUNC([CORR. BASE]*SETUP!$G$3,2)</f>
        <v>0.57999999999999996</v>
      </c>
      <c r="T23" s="23">
        <f>[VL LIQUID]-[TX LIQUID]-[EMOL]-[REGISTRO]-[CORR. BASE]-[ISS]-[OUTRAS]</f>
        <v>624.0200000000001</v>
      </c>
      <c r="U23" s="23">
        <f>[LÍQUIDO]-SUMPRODUCT(N([DATA]=NC[[#This Row],[DATA]]),N([ID]=(NC[[#This Row],[ID]]-1)),[LÍQUIDO])</f>
        <v>624.0200000000001</v>
      </c>
      <c r="V23" s="23">
        <f>ABS(U23)/E23</f>
        <v>0.39001250000000004</v>
      </c>
      <c r="W23" s="23">
        <f>TRUNC(IF(OR([OPER/TIPO]="CV",[OPER/TIPO]="VV"),     L23*SETUP!$H$3,     0),2)</f>
        <v>0.03</v>
      </c>
      <c r="X23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400</v>
      </c>
      <c r="Y23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3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0.39001250000000004</v>
      </c>
      <c r="AA23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-188.86799999999999</v>
      </c>
      <c r="AB23" s="29">
        <f>IF(['[A/O']]="O",[LUCRO OP]*0.15,0)</f>
        <v>0</v>
      </c>
      <c r="AC23" s="28">
        <f>[LUCRO OP]/ABS([VALOR P/ OP])</f>
        <v>-0.30266337617384054</v>
      </c>
      <c r="AD23" s="23">
        <f>SUMPRODUCT(N(YEAR([D LIQUID])=YEAR(NC[[#This Row],[D LIQUID]])),N(MONTH([D LIQUID])=MONTH(NC[[#This Row],[D LIQUID]])),N(['[D/N']]="N"),[LUCRO OP])</f>
        <v>-467.17999999999961</v>
      </c>
      <c r="AE23" s="23">
        <f>SUMPRODUCT(N(YEAR([D LIQUID])=YEAR(NC[[#This Row],[D LIQUID]])),N(MONTH([D LIQUID])=MONTH(NC[[#This Row],[D LIQUID]])),N(['[D/N']]="D"),[LUCRO OP])</f>
        <v>0</v>
      </c>
      <c r="AF23" s="23">
        <f>[LUCRO N '[A']]+[LUCRO D]</f>
        <v>-467.17999999999961</v>
      </c>
      <c r="AG23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4" spans="1:33" s="21" customFormat="1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Row],[DATA]],IF(['[A/O']]="A",3,1))</f>
        <v>40953</v>
      </c>
      <c r="J24" s="21">
        <f>EOMONTH(NC[[#This Row],[D LIQUID]],0)</f>
        <v>40968</v>
      </c>
      <c r="K24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4" s="23">
        <f>[QTDE]*[PREÇO]</f>
        <v>600</v>
      </c>
      <c r="M24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</v>
      </c>
      <c r="N24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0.34</v>
      </c>
      <c r="O24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24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4" s="23">
        <f>SETUP!$E$3*SUMPRODUCT(N([DATA]=NC[[#This Row],[DATA]]),N([ID]&lt;=NC[[#This Row],[ID]]))</f>
        <v>29.8</v>
      </c>
      <c r="R24" s="23">
        <f>TRUNC([CORR. BASE]*SETUP!$F$3,2)</f>
        <v>0.59</v>
      </c>
      <c r="S24" s="23">
        <f>TRUNC([CORR. BASE]*SETUP!$G$3,2)</f>
        <v>1.1599999999999999</v>
      </c>
      <c r="T24" s="23">
        <f>[VL LIQUID]-[TX LIQUID]-[EMOL]-[REGISTRO]-[CORR. BASE]-[ISS]-[OUTRAS]</f>
        <v>8.0299999999999976</v>
      </c>
      <c r="U24" s="23">
        <f>[LÍQUIDO]-SUMPRODUCT(N([DATA]=NC[[#This Row],[DATA]]),N([ID]=(NC[[#This Row],[ID]]-1)),[LÍQUIDO])</f>
        <v>-615.99000000000012</v>
      </c>
      <c r="V24" s="23">
        <f>ABS(U24)/E24</f>
        <v>0.20533000000000004</v>
      </c>
      <c r="W24" s="23">
        <f>TRUNC(IF(OR([OPER/TIPO]="CV",[OPER/TIPO]="VV"),     L24*SETUP!$H$3,     0),2)</f>
        <v>0</v>
      </c>
      <c r="X24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4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4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4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24" s="29">
        <f>IF(['[A/O']]="O",[LUCRO OP]*0.15,0)</f>
        <v>0</v>
      </c>
      <c r="AC24" s="28">
        <f>[LUCRO OP]/ABS([VALOR P/ OP])</f>
        <v>0</v>
      </c>
      <c r="AD24" s="23">
        <f>SUMPRODUCT(N(YEAR([D LIQUID])=YEAR(NC[[#This Row],[D LIQUID]])),N(MONTH([D LIQUID])=MONTH(NC[[#This Row],[D LIQUID]])),N(['[D/N']]="N"),[LUCRO OP])</f>
        <v>-467.17999999999961</v>
      </c>
      <c r="AE24" s="23">
        <f>SUMPRODUCT(N(YEAR([D LIQUID])=YEAR(NC[[#This Row],[D LIQUID]])),N(MONTH([D LIQUID])=MONTH(NC[[#This Row],[D LIQUID]])),N(['[D/N']]="D"),[LUCRO OP])</f>
        <v>0</v>
      </c>
      <c r="AF24" s="23">
        <f>[LUCRO N '[A']]+[LUCRO D]</f>
        <v>-467.17999999999961</v>
      </c>
      <c r="AG24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5" spans="1:33" s="21" customFormat="1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Row],[DATA]],IF(['[A/O']]="A",3,1))</f>
        <v>40967</v>
      </c>
      <c r="J25" s="21">
        <f>EOMONTH(NC[[#This Row],[D LIQUID]],0)</f>
        <v>40968</v>
      </c>
      <c r="K2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5" s="23">
        <f>[QTDE]*[PREÇO]</f>
        <v>152</v>
      </c>
      <c r="M2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152</v>
      </c>
      <c r="N2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0.04</v>
      </c>
      <c r="O2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0.01</v>
      </c>
      <c r="P2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5" s="23">
        <f>SETUP!$E$3*SUMPRODUCT(N([DATA]=NC[[#This Row],[DATA]]),N([ID]&lt;=NC[[#This Row],[ID]]))</f>
        <v>14.9</v>
      </c>
      <c r="R25" s="23">
        <f>TRUNC([CORR. BASE]*SETUP!$F$3,2)</f>
        <v>0.28999999999999998</v>
      </c>
      <c r="S25" s="23">
        <f>TRUNC([CORR. BASE]*SETUP!$G$3,2)</f>
        <v>0.57999999999999996</v>
      </c>
      <c r="T25" s="23">
        <f>[VL LIQUID]-[TX LIQUID]-[EMOL]-[REGISTRO]-[CORR. BASE]-[ISS]-[OUTRAS]</f>
        <v>136.18</v>
      </c>
      <c r="U25" s="23">
        <f>[LÍQUIDO]-SUMPRODUCT(N([DATA]=NC[[#This Row],[DATA]]),N([ID]=(NC[[#This Row],[ID]]-1)),[LÍQUIDO])</f>
        <v>136.18</v>
      </c>
      <c r="V25" s="23">
        <f>ABS(U25)/E25</f>
        <v>0.34045000000000003</v>
      </c>
      <c r="W25" s="23">
        <f>TRUNC(IF(OR([OPER/TIPO]="CV",[OPER/TIPO]="VV"),     L25*SETUP!$H$3,     0),2)</f>
        <v>0</v>
      </c>
      <c r="X2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0.50805500000000003</v>
      </c>
      <c r="Z2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0.34045000000000003</v>
      </c>
      <c r="AA2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-67.042000000000002</v>
      </c>
      <c r="AB25" s="29">
        <f>IF(['[A/O']]="O",[LUCRO OP]*0.15,0)</f>
        <v>0</v>
      </c>
      <c r="AC25" s="28">
        <f>[LUCRO OP]/ABS([VALOR P/ OP])</f>
        <v>-0.49230430312821266</v>
      </c>
      <c r="AD25" s="23">
        <f>SUMPRODUCT(N(YEAR([D LIQUID])=YEAR(NC[[#This Row],[D LIQUID]])),N(MONTH([D LIQUID])=MONTH(NC[[#This Row],[D LIQUID]])),N(['[D/N']]="N"),[LUCRO OP])</f>
        <v>-467.17999999999961</v>
      </c>
      <c r="AE25" s="23">
        <f>SUMPRODUCT(N(YEAR([D LIQUID])=YEAR(NC[[#This Row],[D LIQUID]])),N(MONTH([D LIQUID])=MONTH(NC[[#This Row],[D LIQUID]])),N(['[D/N']]="D"),[LUCRO OP])</f>
        <v>0</v>
      </c>
      <c r="AF25" s="23">
        <f>[LUCRO N '[A']]+[LUCRO D]</f>
        <v>-467.17999999999961</v>
      </c>
      <c r="AG2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3102</v>
      </c>
    </row>
    <row r="26" spans="1:33" s="21" customFormat="1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Row],[DATA]],IF(['[A/O']]="A",3,1))</f>
        <v>40970</v>
      </c>
      <c r="J26" s="21">
        <f>EOMONTH(NC[[#This Row],[D LIQUID]],0)</f>
        <v>40999</v>
      </c>
      <c r="K2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6" s="23">
        <f>[QTDE]*[PREÇO]</f>
        <v>510.00000000000006</v>
      </c>
      <c r="M2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510.00000000000006</v>
      </c>
      <c r="N2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0.14000000000000001</v>
      </c>
      <c r="O2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0.03</v>
      </c>
      <c r="P2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6" s="23">
        <f>SETUP!$E$3*SUMPRODUCT(N([DATA]=NC[[#This Row],[DATA]]),N([ID]&lt;=NC[[#This Row],[ID]]))</f>
        <v>14.9</v>
      </c>
      <c r="R26" s="23">
        <f>TRUNC([CORR. BASE]*SETUP!$F$3,2)</f>
        <v>0.28999999999999998</v>
      </c>
      <c r="S26" s="23">
        <f>TRUNC([CORR. BASE]*SETUP!$G$3,2)</f>
        <v>0.57999999999999996</v>
      </c>
      <c r="T26" s="23">
        <f>[VL LIQUID]-[TX LIQUID]-[EMOL]-[REGISTRO]-[CORR. BASE]-[ISS]-[OUTRAS]</f>
        <v>494.06000000000012</v>
      </c>
      <c r="U26" s="23">
        <f>[LÍQUIDO]-SUMPRODUCT(N([DATA]=NC[[#This Row],[DATA]]),N([ID]=(NC[[#This Row],[ID]]-1)),[LÍQUIDO])</f>
        <v>494.06000000000012</v>
      </c>
      <c r="V26" s="23">
        <f>ABS(U26)/E26</f>
        <v>0.1646866666666667</v>
      </c>
      <c r="W26" s="23">
        <f>TRUNC(IF(OR([OPER/TIPO]="CV",[OPER/TIPO]="VV"),     L26*SETUP!$H$3,     0),2)</f>
        <v>0.02</v>
      </c>
      <c r="X2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0.20533000000000004</v>
      </c>
      <c r="Z2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0.1646866666666667</v>
      </c>
      <c r="AA2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-121.93</v>
      </c>
      <c r="AB26" s="29">
        <f>IF(['[A/O']]="O",[LUCRO OP]*0.15,0)</f>
        <v>0</v>
      </c>
      <c r="AC26" s="28">
        <f>[LUCRO OP]/ABS([VALOR P/ OP])</f>
        <v>-0.24679188762498477</v>
      </c>
      <c r="AD26" s="23">
        <f>SUMPRODUCT(N(YEAR([D LIQUID])=YEAR(NC[[#This Row],[D LIQUID]])),N(MONTH([D LIQUID])=MONTH(NC[[#This Row],[D LIQUID]])),N(['[D/N']]="N"),[LUCRO OP])</f>
        <v>-1347.6999999999994</v>
      </c>
      <c r="AE26" s="23">
        <f>SUMPRODUCT(N(YEAR([D LIQUID])=YEAR(NC[[#This Row],[D LIQUID]])),N(MONTH([D LIQUID])=MONTH(NC[[#This Row],[D LIQUID]])),N(['[D/N']]="D"),[LUCRO OP])</f>
        <v>0</v>
      </c>
      <c r="AF26" s="23">
        <f>[LUCRO N '[A']]+[LUCRO D]</f>
        <v>-1347.6999999999994</v>
      </c>
      <c r="AG2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7" spans="1:33" s="21" customFormat="1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Row],[DATA]],IF(['[A/O']]="A",3,1))</f>
        <v>40970</v>
      </c>
      <c r="J27" s="21">
        <f>EOMONTH(NC[[#This Row],[D LIQUID]],0)</f>
        <v>40999</v>
      </c>
      <c r="K27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7" s="23">
        <f>[QTDE]*[PREÇO]</f>
        <v>810</v>
      </c>
      <c r="M27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1320</v>
      </c>
      <c r="N27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27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27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7" s="23">
        <f>SETUP!$E$3*SUMPRODUCT(N([DATA]=NC[[#This Row],[DATA]]),N([ID]&lt;=NC[[#This Row],[ID]]))</f>
        <v>29.8</v>
      </c>
      <c r="R27" s="23">
        <f>TRUNC([CORR. BASE]*SETUP!$F$3,2)</f>
        <v>0.59</v>
      </c>
      <c r="S27" s="23">
        <f>TRUNC([CORR. BASE]*SETUP!$G$3,2)</f>
        <v>1.1599999999999999</v>
      </c>
      <c r="T27" s="23">
        <f>[VL LIQUID]-[TX LIQUID]-[EMOL]-[REGISTRO]-[CORR. BASE]-[ISS]-[OUTRAS]</f>
        <v>1288.0000000000002</v>
      </c>
      <c r="U27" s="23">
        <f>[LÍQUIDO]-SUMPRODUCT(N([DATA]=NC[[#This Row],[DATA]]),N([ID]=(NC[[#This Row],[ID]]-1)),[LÍQUIDO])</f>
        <v>793.94</v>
      </c>
      <c r="V27" s="23">
        <f>ABS(U27)/E27</f>
        <v>0.2646466666666667</v>
      </c>
      <c r="W27" s="23">
        <f>TRUNC(IF(OR([OPER/TIPO]="CV",[OPER/TIPO]="VV"),     L27*SETUP!$H$3,     0),2)</f>
        <v>0.04</v>
      </c>
      <c r="X27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3000</v>
      </c>
      <c r="Y27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7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0.2646466666666667</v>
      </c>
      <c r="AA27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-401.24500000000006</v>
      </c>
      <c r="AB27" s="29">
        <f>IF(['[A/O']]="O",[LUCRO OP]*0.15,0)</f>
        <v>0</v>
      </c>
      <c r="AC27" s="28">
        <f>[LUCRO OP]/ABS([VALOR P/ OP])</f>
        <v>-0.50538453787439863</v>
      </c>
      <c r="AD27" s="23">
        <f>SUMPRODUCT(N(YEAR([D LIQUID])=YEAR(NC[[#This Row],[D LIQUID]])),N(MONTH([D LIQUID])=MONTH(NC[[#This Row],[D LIQUID]])),N(['[D/N']]="N"),[LUCRO OP])</f>
        <v>-1347.6999999999994</v>
      </c>
      <c r="AE27" s="23">
        <f>SUMPRODUCT(N(YEAR([D LIQUID])=YEAR(NC[[#This Row],[D LIQUID]])),N(MONTH([D LIQUID])=MONTH(NC[[#This Row],[D LIQUID]])),N(['[D/N']]="D"),[LUCRO OP])</f>
        <v>0</v>
      </c>
      <c r="AF27" s="23">
        <f>[LUCRO N '[A']]+[LUCRO D]</f>
        <v>-1347.6999999999994</v>
      </c>
      <c r="AG27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8" spans="1:33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Row],[DATA]],IF(['[A/O']]="A",3,1))</f>
        <v>40973</v>
      </c>
      <c r="J28" s="21">
        <f>EOMONTH(NC[[#This Row],[D LIQUID]],0)</f>
        <v>40999</v>
      </c>
      <c r="K28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28" s="23">
        <f>[QTDE]*[PREÇO]</f>
        <v>750</v>
      </c>
      <c r="M28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750</v>
      </c>
      <c r="N28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</v>
      </c>
      <c r="O28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0.05</v>
      </c>
      <c r="P28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8" s="23">
        <f>SETUP!$E$3*SUMPRODUCT(N([DATA]=NC[[#This Row],[DATA]]),N([ID]&lt;=NC[[#This Row],[ID]]))</f>
        <v>14.9</v>
      </c>
      <c r="R28" s="23">
        <f>TRUNC([CORR. BASE]*SETUP!$F$3,2)</f>
        <v>0.28999999999999998</v>
      </c>
      <c r="S28" s="23">
        <f>TRUNC([CORR. BASE]*SETUP!$G$3,2)</f>
        <v>0.57999999999999996</v>
      </c>
      <c r="T28" s="23">
        <f>[VL LIQUID]-[TX LIQUID]-[EMOL]-[REGISTRO]-[CORR. BASE]-[ISS]-[OUTRAS]</f>
        <v>733.98</v>
      </c>
      <c r="U28" s="23">
        <f>[LÍQUIDO]-SUMPRODUCT(N([DATA]=NC[[#This Row],[DATA]]),N([ID]=(NC[[#This Row],[ID]]-1)),[LÍQUIDO])</f>
        <v>733.98</v>
      </c>
      <c r="V28" s="23">
        <f>ABS(U28)/E28</f>
        <v>0.24466000000000002</v>
      </c>
      <c r="W28" s="23">
        <f>TRUNC(IF(OR([OPER/TIPO]="CV",[OPER/TIPO]="VV"),     L28*SETUP!$H$3,     0),2)</f>
        <v>0.03</v>
      </c>
      <c r="X28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28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0.39839500000000005</v>
      </c>
      <c r="Z28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0.24466000000000002</v>
      </c>
      <c r="AA28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-461.2050000000001</v>
      </c>
      <c r="AB28" s="29">
        <f>IF(['[A/O']]="O",[LUCRO OP]*0.15,0)</f>
        <v>0</v>
      </c>
      <c r="AC28" s="28">
        <f>[LUCRO OP]/ABS([VALOR P/ OP])</f>
        <v>-0.62836180822365739</v>
      </c>
      <c r="AD28" s="23">
        <f>SUMPRODUCT(N(YEAR([D LIQUID])=YEAR(NC[[#This Row],[D LIQUID]])),N(MONTH([D LIQUID])=MONTH(NC[[#This Row],[D LIQUID]])),N(['[D/N']]="N"),[LUCRO OP])</f>
        <v>-1347.6999999999994</v>
      </c>
      <c r="AE28" s="23">
        <f>SUMPRODUCT(N(YEAR([D LIQUID])=YEAR(NC[[#This Row],[D LIQUID]])),N(MONTH([D LIQUID])=MONTH(NC[[#This Row],[D LIQUID]])),N(['[D/N']]="D"),[LUCRO OP])</f>
        <v>0</v>
      </c>
      <c r="AF28" s="23">
        <f>[LUCRO N '[A']]+[LUCRO D]</f>
        <v>-1347.6999999999994</v>
      </c>
      <c r="AG28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29" spans="1:33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Row],[DATA]],IF(['[A/O']]="A",3,1))</f>
        <v>40975</v>
      </c>
      <c r="J29" s="21">
        <f>EOMONTH(NC[[#This Row],[D LIQUID]],0)</f>
        <v>40999</v>
      </c>
      <c r="K2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29" s="23">
        <f>[QTDE]*[PREÇO]</f>
        <v>1060</v>
      </c>
      <c r="M2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-1060</v>
      </c>
      <c r="N2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0.28999999999999998</v>
      </c>
      <c r="O2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2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29" s="23">
        <f>SETUP!$E$3*SUMPRODUCT(N([DATA]=NC[[#This Row],[DATA]]),N([ID]&lt;=NC[[#This Row],[ID]]))</f>
        <v>14.9</v>
      </c>
      <c r="R29" s="23">
        <f>TRUNC([CORR. BASE]*SETUP!$F$3,2)</f>
        <v>0.28999999999999998</v>
      </c>
      <c r="S29" s="23">
        <f>TRUNC([CORR. BASE]*SETUP!$G$3,2)</f>
        <v>0.57999999999999996</v>
      </c>
      <c r="T29" s="23">
        <f>[VL LIQUID]-[TX LIQUID]-[EMOL]-[REGISTRO]-[CORR. BASE]-[ISS]-[OUTRAS]</f>
        <v>-1076.1299999999999</v>
      </c>
      <c r="U29" s="23">
        <f>[LÍQUIDO]-SUMPRODUCT(N([DATA]=NC[[#This Row],[DATA]]),N([ID]=(NC[[#This Row],[ID]]-1)),[LÍQUIDO])</f>
        <v>-1076.1299999999999</v>
      </c>
      <c r="V29" s="23">
        <f>ABS(U29)/E29</f>
        <v>2.1522599999999996</v>
      </c>
      <c r="W29" s="23">
        <f>TRUNC(IF(OR([OPER/TIPO]="CV",[OPER/TIPO]="VV"),     L29*SETUP!$H$3,     0),2)</f>
        <v>0</v>
      </c>
      <c r="X2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500</v>
      </c>
      <c r="Y2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2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2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29" s="29">
        <f>IF(['[A/O']]="O",[LUCRO OP]*0.15,0)</f>
        <v>0</v>
      </c>
      <c r="AC29" s="28">
        <f>[LUCRO OP]/ABS([VALOR P/ OP])</f>
        <v>0</v>
      </c>
      <c r="AD29" s="23">
        <f>SUMPRODUCT(N(YEAR([D LIQUID])=YEAR(NC[[#This Row],[D LIQUID]])),N(MONTH([D LIQUID])=MONTH(NC[[#This Row],[D LIQUID]])),N(['[D/N']]="N"),[LUCRO OP])</f>
        <v>-1347.6999999999994</v>
      </c>
      <c r="AE29" s="23">
        <f>SUMPRODUCT(N(YEAR([D LIQUID])=YEAR(NC[[#This Row],[D LIQUID]])),N(MONTH([D LIQUID])=MONTH(NC[[#This Row],[D LIQUID]])),N(['[D/N']]="D"),[LUCRO OP])</f>
        <v>0</v>
      </c>
      <c r="AF29" s="23">
        <f>[LUCRO N '[A']]+[LUCRO D]</f>
        <v>-1347.6999999999994</v>
      </c>
      <c r="AG2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0" spans="1:33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Row],[DATA]],IF(['[A/O']]="A",3,1))</f>
        <v>40975</v>
      </c>
      <c r="J30" s="21">
        <f>EOMONTH(NC[[#This Row],[D LIQUID]],0)</f>
        <v>40999</v>
      </c>
      <c r="K3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0" s="23">
        <f>[QTDE]*[PREÇO]</f>
        <v>990</v>
      </c>
      <c r="M3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-2050</v>
      </c>
      <c r="N3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0.56000000000000005</v>
      </c>
      <c r="O3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0.14000000000000001</v>
      </c>
      <c r="P3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0" s="23">
        <f>SETUP!$E$3*SUMPRODUCT(N([DATA]=NC[[#This Row],[DATA]]),N([ID]&lt;=NC[[#This Row],[ID]]))</f>
        <v>29.8</v>
      </c>
      <c r="R30" s="23">
        <f>TRUNC([CORR. BASE]*SETUP!$F$3,2)</f>
        <v>0.59</v>
      </c>
      <c r="S30" s="23">
        <f>TRUNC([CORR. BASE]*SETUP!$G$3,2)</f>
        <v>1.1599999999999999</v>
      </c>
      <c r="T30" s="23">
        <f>[VL LIQUID]-[TX LIQUID]-[EMOL]-[REGISTRO]-[CORR. BASE]-[ISS]-[OUTRAS]</f>
        <v>-2082.25</v>
      </c>
      <c r="U30" s="23">
        <f>[LÍQUIDO]-SUMPRODUCT(N([DATA]=NC[[#This Row],[DATA]]),N([ID]=(NC[[#This Row],[ID]]-1)),[LÍQUIDO])</f>
        <v>-1006.1200000000001</v>
      </c>
      <c r="V30" s="23">
        <f>ABS(U30)/E30</f>
        <v>5.0306000000000006</v>
      </c>
      <c r="W30" s="23">
        <f>TRUNC(IF(OR([OPER/TIPO]="CV",[OPER/TIPO]="VV"),     L30*SETUP!$H$3,     0),2)</f>
        <v>0</v>
      </c>
      <c r="X3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200</v>
      </c>
      <c r="Y3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0" s="29">
        <f>IF(['[A/O']]="O",[LUCRO OP]*0.15,0)</f>
        <v>0</v>
      </c>
      <c r="AC30" s="28">
        <f>[LUCRO OP]/ABS([VALOR P/ OP])</f>
        <v>0</v>
      </c>
      <c r="AD30" s="23">
        <f>SUMPRODUCT(N(YEAR([D LIQUID])=YEAR(NC[[#This Row],[D LIQUID]])),N(MONTH([D LIQUID])=MONTH(NC[[#This Row],[D LIQUID]])),N(['[D/N']]="N"),[LUCRO OP])</f>
        <v>-1347.6999999999994</v>
      </c>
      <c r="AE30" s="23">
        <f>SUMPRODUCT(N(YEAR([D LIQUID])=YEAR(NC[[#This Row],[D LIQUID]])),N(MONTH([D LIQUID])=MONTH(NC[[#This Row],[D LIQUID]])),N(['[D/N']]="D"),[LUCRO OP])</f>
        <v>0</v>
      </c>
      <c r="AF30" s="23">
        <f>[LUCRO N '[A']]+[LUCRO D]</f>
        <v>-1347.6999999999994</v>
      </c>
      <c r="AG3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1" spans="1:33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Row],[DATA]],IF(['[A/O']]="A",3,1))</f>
        <v>40977</v>
      </c>
      <c r="J31" s="21">
        <f>EOMONTH(NC[[#This Row],[D LIQUID]],0)</f>
        <v>40999</v>
      </c>
      <c r="K31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1" s="23">
        <f>[QTDE]*[PREÇO]</f>
        <v>1020</v>
      </c>
      <c r="M31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1020</v>
      </c>
      <c r="N31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0.28000000000000003</v>
      </c>
      <c r="O31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7.0000000000000007E-2</v>
      </c>
      <c r="P31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1" s="23">
        <f>SETUP!$E$3*SUMPRODUCT(N([DATA]=NC[[#This Row],[DATA]]),N([ID]&lt;=NC[[#This Row],[ID]]))</f>
        <v>14.9</v>
      </c>
      <c r="R31" s="23">
        <f>TRUNC([CORR. BASE]*SETUP!$F$3,2)</f>
        <v>0.28999999999999998</v>
      </c>
      <c r="S31" s="23">
        <f>TRUNC([CORR. BASE]*SETUP!$G$3,2)</f>
        <v>0.57999999999999996</v>
      </c>
      <c r="T31" s="23">
        <f>[VL LIQUID]-[TX LIQUID]-[EMOL]-[REGISTRO]-[CORR. BASE]-[ISS]-[OUTRAS]</f>
        <v>1003.88</v>
      </c>
      <c r="U31" s="23">
        <f>[LÍQUIDO]-SUMPRODUCT(N([DATA]=NC[[#This Row],[DATA]]),N([ID]=(NC[[#This Row],[ID]]-1)),[LÍQUIDO])</f>
        <v>1003.88</v>
      </c>
      <c r="V31" s="23">
        <f>ABS(U31)/E31</f>
        <v>2.0077600000000002</v>
      </c>
      <c r="W31" s="23">
        <f>TRUNC(IF(OR([OPER/TIPO]="CV",[OPER/TIPO]="VV"),     L31*SETUP!$H$3,     0),2)</f>
        <v>0.05</v>
      </c>
      <c r="X31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1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2.1522599999999996</v>
      </c>
      <c r="Z31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2.0077600000000002</v>
      </c>
      <c r="AA31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-72.249999999999702</v>
      </c>
      <c r="AB31" s="29">
        <f>IF(['[A/O']]="O",[LUCRO OP]*0.15,0)</f>
        <v>0</v>
      </c>
      <c r="AC31" s="28">
        <f>[LUCRO OP]/ABS([VALOR P/ OP])</f>
        <v>-7.1970753476510843E-2</v>
      </c>
      <c r="AD31" s="23">
        <f>SUMPRODUCT(N(YEAR([D LIQUID])=YEAR(NC[[#This Row],[D LIQUID]])),N(MONTH([D LIQUID])=MONTH(NC[[#This Row],[D LIQUID]])),N(['[D/N']]="N"),[LUCRO OP])</f>
        <v>-1347.6999999999994</v>
      </c>
      <c r="AE31" s="23">
        <f>SUMPRODUCT(N(YEAR([D LIQUID])=YEAR(NC[[#This Row],[D LIQUID]])),N(MONTH([D LIQUID])=MONTH(NC[[#This Row],[D LIQUID]])),N(['[D/N']]="D"),[LUCRO OP])</f>
        <v>0</v>
      </c>
      <c r="AF31" s="23">
        <f>[LUCRO N '[A']]+[LUCRO D]</f>
        <v>-1347.6999999999994</v>
      </c>
      <c r="AG31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2" spans="1:33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Row],[DATA]],IF(['[A/O']]="A",3,1))</f>
        <v>40981</v>
      </c>
      <c r="J32" s="21">
        <f>EOMONTH(NC[[#This Row],[D LIQUID]],0)</f>
        <v>40999</v>
      </c>
      <c r="K32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2" s="23">
        <f>[QTDE]*[PREÇO]</f>
        <v>1274</v>
      </c>
      <c r="M32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2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2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2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2" s="23">
        <f>SETUP!$E$3*SUMPRODUCT(N([DATA]=NC[[#This Row],[DATA]]),N([ID]&lt;=NC[[#This Row],[ID]]))</f>
        <v>14.9</v>
      </c>
      <c r="R32" s="23">
        <f>TRUNC([CORR. BASE]*SETUP!$F$3,2)</f>
        <v>0.28999999999999998</v>
      </c>
      <c r="S32" s="23">
        <f>TRUNC([CORR. BASE]*SETUP!$G$3,2)</f>
        <v>0.57999999999999996</v>
      </c>
      <c r="T32" s="23">
        <f>[VL LIQUID]-[TX LIQUID]-[EMOL]-[REGISTRO]-[CORR. BASE]-[ISS]-[OUTRAS]</f>
        <v>1257.8000000000002</v>
      </c>
      <c r="U32" s="23">
        <f>[LÍQUIDO]-SUMPRODUCT(N([DATA]=NC[[#This Row],[DATA]]),N([ID]=(NC[[#This Row],[ID]]-1)),[LÍQUIDO])</f>
        <v>1257.8000000000002</v>
      </c>
      <c r="V32" s="23">
        <f>ABS(U32)/E32</f>
        <v>6.2890000000000006</v>
      </c>
      <c r="W32" s="23">
        <f>TRUNC(IF(OR([OPER/TIPO]="CV",[OPER/TIPO]="VV"),     L32*SETUP!$H$3,     0),2)</f>
        <v>0.06</v>
      </c>
      <c r="X32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2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2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2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2" s="29">
        <f>IF(['[A/O']]="O",[LUCRO OP]*0.15,0)</f>
        <v>0</v>
      </c>
      <c r="AC32" s="28">
        <f>[LUCRO OP]/ABS([VALOR P/ OP])</f>
        <v>0</v>
      </c>
      <c r="AD32" s="23">
        <f>SUMPRODUCT(N(YEAR([D LIQUID])=YEAR(NC[[#This Row],[D LIQUID]])),N(MONTH([D LIQUID])=MONTH(NC[[#This Row],[D LIQUID]])),N(['[D/N']]="N"),[LUCRO OP])</f>
        <v>-1347.6999999999994</v>
      </c>
      <c r="AE32" s="23">
        <f>SUMPRODUCT(N(YEAR([D LIQUID])=YEAR(NC[[#This Row],[D LIQUID]])),N(MONTH([D LIQUID])=MONTH(NC[[#This Row],[D LIQUID]])),N(['[D/N']]="D"),[LUCRO OP])</f>
        <v>0</v>
      </c>
      <c r="AF32" s="23">
        <f>[LUCRO N '[A']]+[LUCRO D]</f>
        <v>-1347.6999999999994</v>
      </c>
      <c r="AG32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3" spans="1:33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Row],[DATA]],IF(['[A/O']]="A",3,1))</f>
        <v>40987</v>
      </c>
      <c r="J33" s="30">
        <f>EOMONTH(NC[[#This Row],[D LIQUID]],0)</f>
        <v>40999</v>
      </c>
      <c r="K33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3" s="32">
        <f>[QTDE]*[PREÇO]</f>
        <v>1310</v>
      </c>
      <c r="M33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-1310</v>
      </c>
      <c r="N33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0.36</v>
      </c>
      <c r="O33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3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3" s="32">
        <f>SETUP!$E$3*SUMPRODUCT(N([DATA]=NC[[#This Row],[DATA]]),N([ID]&lt;=NC[[#This Row],[ID]]))</f>
        <v>14.9</v>
      </c>
      <c r="R33" s="32">
        <f>TRUNC([CORR. BASE]*SETUP!$F$3,2)</f>
        <v>0.28999999999999998</v>
      </c>
      <c r="S33" s="32">
        <f>TRUNC([CORR. BASE]*SETUP!$G$3,2)</f>
        <v>0.57999999999999996</v>
      </c>
      <c r="T33" s="32">
        <f>[VL LIQUID]-[TX LIQUID]-[EMOL]-[REGISTRO]-[CORR. BASE]-[ISS]-[OUTRAS]</f>
        <v>-1326.2199999999998</v>
      </c>
      <c r="U33" s="32">
        <f>[LÍQUIDO]-SUMPRODUCT(N([DATA]=NC[[#This Row],[DATA]]),N([ID]=(NC[[#This Row],[ID]]-1)),[LÍQUIDO])</f>
        <v>-1326.2199999999998</v>
      </c>
      <c r="V33" s="32">
        <f>ABS(U33)/E33</f>
        <v>6.6310999999999991</v>
      </c>
      <c r="W33" s="32">
        <f>TRUNC(IF(OR([OPER/TIPO]="CV",[OPER/TIPO]="VV"),     L33*SETUP!$H$3,     0),2)</f>
        <v>0</v>
      </c>
      <c r="X33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3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6.6310999999999991</v>
      </c>
      <c r="Z33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3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-68.419999999999703</v>
      </c>
      <c r="AB33" s="34">
        <f>IF(['[A/O']]="O",[LUCRO OP]*0.15,0)</f>
        <v>0</v>
      </c>
      <c r="AC33" s="35">
        <f>[LUCRO OP]/ABS([VALOR P/ OP])</f>
        <v>-5.1590233897844784E-2</v>
      </c>
      <c r="AD33" s="32">
        <f>SUMPRODUCT(N(YEAR([D LIQUID])=YEAR(NC[[#This Row],[D LIQUID]])),N(MONTH([D LIQUID])=MONTH(NC[[#This Row],[D LIQUID]])),N(['[D/N']]="N"),[LUCRO OP])</f>
        <v>-1347.6999999999994</v>
      </c>
      <c r="AE33" s="32">
        <f>SUMPRODUCT(N(YEAR([D LIQUID])=YEAR(NC[[#This Row],[D LIQUID]])),N(MONTH([D LIQUID])=MONTH(NC[[#This Row],[D LIQUID]])),N(['[D/N']]="D"),[LUCRO OP])</f>
        <v>0</v>
      </c>
      <c r="AF33" s="32">
        <f>[LUCRO N '[A']]+[LUCRO D]</f>
        <v>-1347.6999999999994</v>
      </c>
      <c r="AG33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4" spans="1:33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Row],[DATA]],IF(['[A/O']]="A",3,1))</f>
        <v>40988</v>
      </c>
      <c r="J34" s="30">
        <f>EOMONTH(NC[[#This Row],[D LIQUID]],0)</f>
        <v>40999</v>
      </c>
      <c r="K34" s="30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4" s="32">
        <f>[QTDE]*[PREÇO]</f>
        <v>1274</v>
      </c>
      <c r="M34" s="32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1274</v>
      </c>
      <c r="N34" s="32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34" s="32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4" s="32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4" s="32">
        <f>SETUP!$E$3*SUMPRODUCT(N([DATA]=NC[[#This Row],[DATA]]),N([ID]&lt;=NC[[#This Row],[ID]]))</f>
        <v>14.9</v>
      </c>
      <c r="R34" s="32">
        <f>TRUNC([CORR. BASE]*SETUP!$F$3,2)</f>
        <v>0.28999999999999998</v>
      </c>
      <c r="S34" s="32">
        <f>TRUNC([CORR. BASE]*SETUP!$G$3,2)</f>
        <v>0.57999999999999996</v>
      </c>
      <c r="T34" s="32">
        <f>[VL LIQUID]-[TX LIQUID]-[EMOL]-[REGISTRO]-[CORR. BASE]-[ISS]-[OUTRAS]</f>
        <v>1257.8000000000002</v>
      </c>
      <c r="U34" s="32">
        <f>[LÍQUIDO]-SUMPRODUCT(N([DATA]=NC[[#This Row],[DATA]]),N([ID]=(NC[[#This Row],[ID]]-1)),[LÍQUIDO])</f>
        <v>1257.8000000000002</v>
      </c>
      <c r="V34" s="32">
        <f>ABS(U34)/E34</f>
        <v>6.2890000000000006</v>
      </c>
      <c r="W34" s="32">
        <f>TRUNC(IF(OR([OPER/TIPO]="CV",[OPER/TIPO]="VV"),     L34*SETUP!$H$3,     0),2)</f>
        <v>0.06</v>
      </c>
      <c r="X34" s="30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-200</v>
      </c>
      <c r="Y34" s="33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4" s="33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4" s="32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4" s="34">
        <f>IF(['[A/O']]="O",[LUCRO OP]*0.15,0)</f>
        <v>0</v>
      </c>
      <c r="AC34" s="35">
        <f>[LUCRO OP]/ABS([VALOR P/ OP])</f>
        <v>0</v>
      </c>
      <c r="AD34" s="32">
        <f>SUMPRODUCT(N(YEAR([D LIQUID])=YEAR(NC[[#This Row],[D LIQUID]])),N(MONTH([D LIQUID])=MONTH(NC[[#This Row],[D LIQUID]])),N(['[D/N']]="N"),[LUCRO OP])</f>
        <v>-1347.6999999999994</v>
      </c>
      <c r="AE34" s="32">
        <f>SUMPRODUCT(N(YEAR([D LIQUID])=YEAR(NC[[#This Row],[D LIQUID]])),N(MONTH([D LIQUID])=MONTH(NC[[#This Row],[D LIQUID]])),N(['[D/N']]="D"),[LUCRO OP])</f>
        <v>0</v>
      </c>
      <c r="AF34" s="32">
        <f>[LUCRO N '[A']]+[LUCRO D]</f>
        <v>-1347.6999999999994</v>
      </c>
      <c r="AG34" s="32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5" spans="1:33">
      <c r="A35" s="21">
        <v>34</v>
      </c>
      <c r="B35" s="21" t="s">
        <v>52</v>
      </c>
      <c r="C35" s="21" t="s">
        <v>57</v>
      </c>
      <c r="D35" s="22">
        <v>40989</v>
      </c>
      <c r="E35" s="21">
        <v>200</v>
      </c>
      <c r="F35" s="23">
        <v>6.95</v>
      </c>
      <c r="G35" s="23" t="s">
        <v>61</v>
      </c>
      <c r="H35" s="21" t="s">
        <v>12</v>
      </c>
      <c r="I35" s="22">
        <f>WORKDAY(NC[[#This Row],[DATA]],IF(['[A/O']]="A",3,1))</f>
        <v>40994</v>
      </c>
      <c r="J35" s="21">
        <f>EOMONTH(NC[[#This Row],[D LIQUID]],0)</f>
        <v>40999</v>
      </c>
      <c r="K35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3</v>
      </c>
      <c r="L35" s="23">
        <f>[QTDE]*[PREÇO]</f>
        <v>1390</v>
      </c>
      <c r="M35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-1390</v>
      </c>
      <c r="N35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0.38</v>
      </c>
      <c r="O35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0.09</v>
      </c>
      <c r="P35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5" s="23">
        <f>SETUP!$E$3*SUMPRODUCT(N([DATA]=NC[[#This Row],[DATA]]),N([ID]&lt;=NC[[#This Row],[ID]]))</f>
        <v>14.9</v>
      </c>
      <c r="R35" s="23">
        <f>TRUNC([CORR. BASE]*SETUP!$F$3,2)</f>
        <v>0.28999999999999998</v>
      </c>
      <c r="S35" s="23">
        <f>TRUNC([CORR. BASE]*SETUP!$G$3,2)</f>
        <v>0.57999999999999996</v>
      </c>
      <c r="T35" s="23">
        <f>[VL LIQUID]-[TX LIQUID]-[EMOL]-[REGISTRO]-[CORR. BASE]-[ISS]-[OUTRAS]</f>
        <v>-1406.24</v>
      </c>
      <c r="U35" s="23">
        <f>[LÍQUIDO]-SUMPRODUCT(N([DATA]=NC[[#This Row],[DATA]]),N([ID]=(NC[[#This Row],[ID]]-1)),[LÍQUIDO])</f>
        <v>-1406.24</v>
      </c>
      <c r="V35" s="23">
        <f>ABS(U35)/E35</f>
        <v>7.0312000000000001</v>
      </c>
      <c r="W35" s="23">
        <f>TRUNC(IF(OR([OPER/TIPO]="CV",[OPER/TIPO]="VV"),     L35*SETUP!$H$3,     0),2)</f>
        <v>0</v>
      </c>
      <c r="X35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5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7.0312000000000001</v>
      </c>
      <c r="Z35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6.2890000000000006</v>
      </c>
      <c r="AA35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-148.43999999999991</v>
      </c>
      <c r="AB35" s="36">
        <f>IF(['[A/O']]="O",[LUCRO OP]*0.15,0)</f>
        <v>0</v>
      </c>
      <c r="AC35" s="28">
        <f>[LUCRO OP]/ABS([VALOR P/ OP])</f>
        <v>-0.10555808396859705</v>
      </c>
      <c r="AD35" s="23">
        <f>SUMPRODUCT(N(YEAR([D LIQUID])=YEAR(NC[[#This Row],[D LIQUID]])),N(MONTH([D LIQUID])=MONTH(NC[[#This Row],[D LIQUID]])),N(['[D/N']]="N"),[LUCRO OP])</f>
        <v>-1347.6999999999994</v>
      </c>
      <c r="AE35" s="23">
        <f>SUMPRODUCT(N(YEAR([D LIQUID])=YEAR(NC[[#This Row],[D LIQUID]])),N(MONTH([D LIQUID])=MONTH(NC[[#This Row],[D LIQUID]])),N(['[D/N']]="D"),[LUCRO OP])</f>
        <v>0</v>
      </c>
      <c r="AF35" s="23">
        <f>[LUCRO N '[A']]+[LUCRO D]</f>
        <v>-1347.6999999999994</v>
      </c>
      <c r="AG35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6" spans="1:33">
      <c r="A36" s="21">
        <v>35</v>
      </c>
      <c r="B36" s="21" t="s">
        <v>25</v>
      </c>
      <c r="C36" s="21" t="s">
        <v>55</v>
      </c>
      <c r="D36" s="22">
        <v>40990</v>
      </c>
      <c r="E36" s="21">
        <v>200</v>
      </c>
      <c r="F36" s="23">
        <v>4.74</v>
      </c>
      <c r="G36" s="23" t="s">
        <v>61</v>
      </c>
      <c r="H36" s="21" t="s">
        <v>12</v>
      </c>
      <c r="I36" s="22">
        <f>WORKDAY(NC[[#This Row],[DATA]],IF(['[A/O']]="A",3,1))</f>
        <v>40995</v>
      </c>
      <c r="J36" s="21">
        <f>EOMONTH(NC[[#This Row],[D LIQUID]],0)</f>
        <v>40999</v>
      </c>
      <c r="K36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2</v>
      </c>
      <c r="L36" s="23">
        <f>[QTDE]*[PREÇO]</f>
        <v>948</v>
      </c>
      <c r="M36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948</v>
      </c>
      <c r="N36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0.26</v>
      </c>
      <c r="O36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0.06</v>
      </c>
      <c r="P36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6" s="23">
        <f>SETUP!$E$3*SUMPRODUCT(N([DATA]=NC[[#This Row],[DATA]]),N([ID]&lt;=NC[[#This Row],[ID]]))</f>
        <v>14.9</v>
      </c>
      <c r="R36" s="23">
        <f>TRUNC([CORR. BASE]*SETUP!$F$3,2)</f>
        <v>0.28999999999999998</v>
      </c>
      <c r="S36" s="23">
        <f>TRUNC([CORR. BASE]*SETUP!$G$3,2)</f>
        <v>0.57999999999999996</v>
      </c>
      <c r="T36" s="23">
        <f>[VL LIQUID]-[TX LIQUID]-[EMOL]-[REGISTRO]-[CORR. BASE]-[ISS]-[OUTRAS]</f>
        <v>931.91000000000008</v>
      </c>
      <c r="U36" s="23">
        <f>[LÍQUIDO]-SUMPRODUCT(N([DATA]=NC[[#This Row],[DATA]]),N([ID]=(NC[[#This Row],[ID]]-1)),[LÍQUIDO])</f>
        <v>931.91000000000008</v>
      </c>
      <c r="V36" s="23">
        <f>ABS(U36)/E36</f>
        <v>4.6595500000000003</v>
      </c>
      <c r="W36" s="23">
        <f>TRUNC(IF(OR([OPER/TIPO]="CV",[OPER/TIPO]="VV"),     L36*SETUP!$H$3,     0),2)</f>
        <v>0.04</v>
      </c>
      <c r="X36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6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5.0306000000000006</v>
      </c>
      <c r="Z36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4.6595500000000003</v>
      </c>
      <c r="AA36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-74.210000000000065</v>
      </c>
      <c r="AB36" s="36">
        <f>IF(['[A/O']]="O",[LUCRO OP]*0.15,0)</f>
        <v>0</v>
      </c>
      <c r="AC36" s="28">
        <f>[LUCRO OP]/ABS([VALOR P/ OP])</f>
        <v>-7.9632153319526625E-2</v>
      </c>
      <c r="AD36" s="23">
        <f>SUMPRODUCT(N(YEAR([D LIQUID])=YEAR(NC[[#This Row],[D LIQUID]])),N(MONTH([D LIQUID])=MONTH(NC[[#This Row],[D LIQUID]])),N(['[D/N']]="N"),[LUCRO OP])</f>
        <v>-1347.6999999999994</v>
      </c>
      <c r="AE36" s="23">
        <f>SUMPRODUCT(N(YEAR([D LIQUID])=YEAR(NC[[#This Row],[D LIQUID]])),N(MONTH([D LIQUID])=MONTH(NC[[#This Row],[D LIQUID]])),N(['[D/N']]="D"),[LUCRO OP])</f>
        <v>0</v>
      </c>
      <c r="AF36" s="23">
        <f>[LUCRO N '[A']]+[LUCRO D]</f>
        <v>-1347.6999999999994</v>
      </c>
      <c r="AG36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6586</v>
      </c>
    </row>
    <row r="37" spans="1:33">
      <c r="A37" s="30">
        <v>36</v>
      </c>
      <c r="B37" s="37" t="s">
        <v>66</v>
      </c>
      <c r="C37" s="37" t="s">
        <v>54</v>
      </c>
      <c r="D37" s="38">
        <v>41053</v>
      </c>
      <c r="E37" s="37">
        <v>400</v>
      </c>
      <c r="F37" s="39">
        <v>3.15</v>
      </c>
      <c r="G37" s="39" t="s">
        <v>61</v>
      </c>
      <c r="H37" s="37" t="s">
        <v>21</v>
      </c>
      <c r="I37" s="38">
        <f>WORKDAY(NC[[#This Row],[DATA]],IF(['[A/O']]="A",3,1))</f>
        <v>41058</v>
      </c>
      <c r="J37" s="37">
        <f>EOMONTH(NC[[#This Row],[D LIQUID]],0)</f>
        <v>41060</v>
      </c>
      <c r="K3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7" s="39">
        <f>[QTDE]*[PREÇO]</f>
        <v>1260</v>
      </c>
      <c r="M3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-1260</v>
      </c>
      <c r="N3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0.22</v>
      </c>
      <c r="O3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0.08</v>
      </c>
      <c r="P3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7" s="39">
        <f>SETUP!$E$3*SUMPRODUCT(N([DATA]=NC[[#This Row],[DATA]]),N([ID]&lt;=NC[[#This Row],[ID]]))</f>
        <v>14.9</v>
      </c>
      <c r="R37" s="39">
        <f>TRUNC([CORR. BASE]*SETUP!$F$3,2)</f>
        <v>0.28999999999999998</v>
      </c>
      <c r="S37" s="39">
        <f>TRUNC([CORR. BASE]*SETUP!$G$3,2)</f>
        <v>0.57999999999999996</v>
      </c>
      <c r="T37" s="39">
        <f>[VL LIQUID]-[TX LIQUID]-[EMOL]-[REGISTRO]-[CORR. BASE]-[ISS]-[OUTRAS]</f>
        <v>-1276.07</v>
      </c>
      <c r="U37" s="39">
        <f>[LÍQUIDO]-SUMPRODUCT(N([DATA]=NC[[#This Row],[DATA]]),N([ID]=(NC[[#This Row],[ID]]-1)),[LÍQUIDO])</f>
        <v>-1276.07</v>
      </c>
      <c r="V37" s="39">
        <f>ABS(U37)/E37</f>
        <v>3.190175</v>
      </c>
      <c r="W37" s="39">
        <f>TRUNC(IF(OR([OPER/TIPO]="CV",[OPER/TIPO]="VV"),     L37*SETUP!$H$3,     0),2)</f>
        <v>0</v>
      </c>
      <c r="X3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7" s="41">
        <f>IF(['[A/O']]="O",[LUCRO OP]*0.15,0)</f>
        <v>0</v>
      </c>
      <c r="AC37" s="42">
        <f>[LUCRO OP]/ABS([VALOR P/ OP])</f>
        <v>0</v>
      </c>
      <c r="AD37" s="39">
        <f>SUMPRODUCT(N(YEAR([D LIQUID])=YEAR(NC[[#This Row],[D LIQUID]])),N(MONTH([D LIQUID])=MONTH(NC[[#This Row],[D LIQUID]])),N(['[D/N']]="N"),[LUCRO OP])</f>
        <v>0</v>
      </c>
      <c r="AE37" s="39">
        <f>SUMPRODUCT(N(YEAR([D LIQUID])=YEAR(NC[[#This Row],[D LIQUID]])),N(MONTH([D LIQUID])=MONTH(NC[[#This Row],[D LIQUID]])),N(['[D/N']]="D"),[LUCRO OP])</f>
        <v>71.8</v>
      </c>
      <c r="AF37" s="39">
        <f>[LUCRO N '[A']]+[LUCRO D]</f>
        <v>71.8</v>
      </c>
      <c r="AG3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8" spans="1:33">
      <c r="A38" s="21">
        <v>37</v>
      </c>
      <c r="B38" s="37" t="s">
        <v>66</v>
      </c>
      <c r="C38" s="37" t="s">
        <v>55</v>
      </c>
      <c r="D38" s="38">
        <v>41053</v>
      </c>
      <c r="E38" s="37">
        <v>400</v>
      </c>
      <c r="F38" s="39">
        <v>3.41</v>
      </c>
      <c r="G38" s="39" t="s">
        <v>61</v>
      </c>
      <c r="H38" s="37" t="s">
        <v>21</v>
      </c>
      <c r="I38" s="38">
        <f>WORKDAY(NC[[#This Row],[DATA]],IF(['[A/O']]="A",3,1))</f>
        <v>41058</v>
      </c>
      <c r="J38" s="37">
        <f>EOMONTH(NC[[#This Row],[D LIQUID]],0)</f>
        <v>41060</v>
      </c>
      <c r="K3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0</v>
      </c>
      <c r="L38" s="39">
        <f>[QTDE]*[PREÇO]</f>
        <v>1364</v>
      </c>
      <c r="M3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104</v>
      </c>
      <c r="N3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O3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0.18</v>
      </c>
      <c r="P3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8" s="39">
        <f>SETUP!$E$3*SUMPRODUCT(N([DATA]=NC[[#This Row],[DATA]]),N([ID]&lt;=NC[[#This Row],[ID]]))</f>
        <v>29.8</v>
      </c>
      <c r="R38" s="39">
        <f>TRUNC([CORR. BASE]*SETUP!$F$3,2)</f>
        <v>0.59</v>
      </c>
      <c r="S38" s="39">
        <f>TRUNC([CORR. BASE]*SETUP!$G$3,2)</f>
        <v>1.1599999999999999</v>
      </c>
      <c r="T38" s="39">
        <f>[VL LIQUID]-[TX LIQUID]-[EMOL]-[REGISTRO]-[CORR. BASE]-[ISS]-[OUTRAS]</f>
        <v>71.8</v>
      </c>
      <c r="U38" s="39">
        <f>[LÍQUIDO]-SUMPRODUCT(N([DATA]=NC[[#This Row],[DATA]]),N([ID]=(NC[[#This Row],[ID]]-1)),[LÍQUIDO])</f>
        <v>1347.87</v>
      </c>
      <c r="V38" s="39">
        <f>ABS(U38)/E38</f>
        <v>3.3696749999999995</v>
      </c>
      <c r="W38" s="39">
        <f>TRUNC(IF(OR([OPER/TIPO]="CV",[OPER/TIPO]="VV"),     L38*SETUP!$H$3,     0),2)</f>
        <v>0.06</v>
      </c>
      <c r="X3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3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38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71.8</v>
      </c>
      <c r="AB38" s="41">
        <f>IF(['[A/O']]="O",[LUCRO OP]*0.15,0)</f>
        <v>0</v>
      </c>
      <c r="AC38" s="42">
        <f>[LUCRO OP]/ABS([VALOR P/ OP])</f>
        <v>5.3269232195983292E-2</v>
      </c>
      <c r="AD38" s="39">
        <f>SUMPRODUCT(N(YEAR([D LIQUID])=YEAR(NC[[#This Row],[D LIQUID]])),N(MONTH([D LIQUID])=MONTH(NC[[#This Row],[D LIQUID]])),N(['[D/N']]="N"),[LUCRO OP])</f>
        <v>0</v>
      </c>
      <c r="AE38" s="39">
        <f>SUMPRODUCT(N(YEAR([D LIQUID])=YEAR(NC[[#This Row],[D LIQUID]])),N(MONTH([D LIQUID])=MONTH(NC[[#This Row],[D LIQUID]])),N(['[D/N']]="D"),[LUCRO OP])</f>
        <v>71.8</v>
      </c>
      <c r="AF38" s="39">
        <f>[LUCRO N '[A']]+[LUCRO D]</f>
        <v>71.8</v>
      </c>
      <c r="AG3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39" spans="1:33">
      <c r="A39" s="21">
        <v>38</v>
      </c>
      <c r="B39" s="37" t="s">
        <v>66</v>
      </c>
      <c r="C39" s="21" t="s">
        <v>56</v>
      </c>
      <c r="D39" s="38">
        <v>41057</v>
      </c>
      <c r="E39" s="37">
        <v>1000</v>
      </c>
      <c r="F39" s="39">
        <v>4.0599999999999996</v>
      </c>
      <c r="G39" s="39" t="s">
        <v>61</v>
      </c>
      <c r="H39" s="21" t="s">
        <v>12</v>
      </c>
      <c r="I39" s="22">
        <f>WORKDAY(NC[[#This Row],[DATA]],IF(['[A/O']]="A",3,1))</f>
        <v>41060</v>
      </c>
      <c r="J39" s="21">
        <f>EOMONTH(NC[[#This Row],[D LIQUID]],0)</f>
        <v>41060</v>
      </c>
      <c r="K39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39" s="23">
        <f>[QTDE]*[PREÇO]</f>
        <v>4059.9999999999995</v>
      </c>
      <c r="M39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4059.9999999999995</v>
      </c>
      <c r="N39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1.1100000000000001</v>
      </c>
      <c r="O39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P39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39" s="23">
        <f>SETUP!$E$3*SUMPRODUCT(N([DATA]=NC[[#This Row],[DATA]]),N([ID]&lt;=NC[[#This Row],[ID]]))</f>
        <v>14.9</v>
      </c>
      <c r="R39" s="23">
        <f>TRUNC([CORR. BASE]*SETUP!$F$3,2)</f>
        <v>0.28999999999999998</v>
      </c>
      <c r="S39" s="23">
        <f>TRUNC([CORR. BASE]*SETUP!$G$3,2)</f>
        <v>0.57999999999999996</v>
      </c>
      <c r="T39" s="23">
        <f>[VL LIQUID]-[TX LIQUID]-[EMOL]-[REGISTRO]-[CORR. BASE]-[ISS]-[OUTRAS]</f>
        <v>4042.8399999999992</v>
      </c>
      <c r="U39" s="23">
        <f>[LÍQUIDO]-SUMPRODUCT(N([DATA]=NC[[#This Row],[DATA]]),N([ID]=(NC[[#This Row],[ID]]-1)),[LÍQUIDO])</f>
        <v>4042.8399999999992</v>
      </c>
      <c r="V39" s="23">
        <f>ABS(U39)/E39</f>
        <v>4.0428399999999991</v>
      </c>
      <c r="W39" s="23">
        <f>TRUNC(IF(OR([OPER/TIPO]="CV",[OPER/TIPO]="VV"),     L39*SETUP!$H$3,     0),2)</f>
        <v>0.2</v>
      </c>
      <c r="X39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-1000</v>
      </c>
      <c r="Y39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39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39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39" s="36">
        <f>IF(['[A/O']]="O",[LUCRO OP]*0.15,0)</f>
        <v>0</v>
      </c>
      <c r="AC39" s="28">
        <f>[LUCRO OP]/ABS([VALOR P/ OP])</f>
        <v>0</v>
      </c>
      <c r="AD39" s="23">
        <f>SUMPRODUCT(N(YEAR([D LIQUID])=YEAR(NC[[#This Row],[D LIQUID]])),N(MONTH([D LIQUID])=MONTH(NC[[#This Row],[D LIQUID]])),N(['[D/N']]="N"),[LUCRO OP])</f>
        <v>0</v>
      </c>
      <c r="AE39" s="23">
        <f>SUMPRODUCT(N(YEAR([D LIQUID])=YEAR(NC[[#This Row],[D LIQUID]])),N(MONTH([D LIQUID])=MONTH(NC[[#This Row],[D LIQUID]])),N(['[D/N']]="D"),[LUCRO OP])</f>
        <v>71.8</v>
      </c>
      <c r="AF39" s="23">
        <f>[LUCRO N '[A']]+[LUCRO D]</f>
        <v>71.8</v>
      </c>
      <c r="AG39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5424</v>
      </c>
    </row>
    <row r="40" spans="1:33">
      <c r="A40" s="30">
        <v>39</v>
      </c>
      <c r="B40" s="37" t="s">
        <v>66</v>
      </c>
      <c r="C40" s="21" t="s">
        <v>57</v>
      </c>
      <c r="D40" s="38">
        <v>41058</v>
      </c>
      <c r="E40" s="37">
        <v>500</v>
      </c>
      <c r="F40" s="39">
        <v>3.47</v>
      </c>
      <c r="G40" s="39" t="s">
        <v>61</v>
      </c>
      <c r="H40" s="21" t="s">
        <v>12</v>
      </c>
      <c r="I40" s="22">
        <f>WORKDAY(NC[[#This Row],[DATA]],IF(['[A/O']]="A",3,1))</f>
        <v>41061</v>
      </c>
      <c r="J40" s="21">
        <f>EOMONTH(NC[[#This Row],[D LIQUID]],0)</f>
        <v>41090</v>
      </c>
      <c r="K40" s="21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0" s="23">
        <f>[QTDE]*[PREÇO]</f>
        <v>1735</v>
      </c>
      <c r="M40" s="23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-1735</v>
      </c>
      <c r="N40" s="23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O40" s="23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P40" s="23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0" s="23">
        <f>SETUP!$E$3*SUMPRODUCT(N([DATA]=NC[[#This Row],[DATA]]),N([ID]&lt;=NC[[#This Row],[ID]]))</f>
        <v>14.9</v>
      </c>
      <c r="R40" s="23">
        <f>TRUNC([CORR. BASE]*SETUP!$F$3,2)</f>
        <v>0.28999999999999998</v>
      </c>
      <c r="S40" s="23">
        <f>TRUNC([CORR. BASE]*SETUP!$G$3,2)</f>
        <v>0.57999999999999996</v>
      </c>
      <c r="T40" s="23">
        <f>[VL LIQUID]-[TX LIQUID]-[EMOL]-[REGISTRO]-[CORR. BASE]-[ISS]-[OUTRAS]</f>
        <v>-1751.36</v>
      </c>
      <c r="U40" s="23">
        <f>[LÍQUIDO]-SUMPRODUCT(N([DATA]=NC[[#This Row],[DATA]]),N([ID]=(NC[[#This Row],[ID]]-1)),[LÍQUIDO])</f>
        <v>-1751.36</v>
      </c>
      <c r="V40" s="23">
        <f>ABS(U40)/E40</f>
        <v>3.5027199999999996</v>
      </c>
      <c r="W40" s="23">
        <f>TRUNC(IF(OR([OPER/TIPO]="CV",[OPER/TIPO]="VV"),     L40*SETUP!$H$3,     0),2)</f>
        <v>0</v>
      </c>
      <c r="X40" s="21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-500</v>
      </c>
      <c r="Y40" s="24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3.5027199999999996</v>
      </c>
      <c r="Z40" s="24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40" s="23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270.05999999999972</v>
      </c>
      <c r="AB40" s="36">
        <f>IF(['[A/O']]="O",[LUCRO OP]*0.15,0)</f>
        <v>0</v>
      </c>
      <c r="AC40" s="28">
        <f>[LUCRO OP]/ABS([VALOR P/ OP])</f>
        <v>0.15420016444363221</v>
      </c>
      <c r="AD40" s="23">
        <f>SUMPRODUCT(N(YEAR([D LIQUID])=YEAR(NC[[#This Row],[D LIQUID]])),N(MONTH([D LIQUID])=MONTH(NC[[#This Row],[D LIQUID]])),N(['[D/N']]="N"),[LUCRO OP])</f>
        <v>972.64000000000192</v>
      </c>
      <c r="AE40" s="23">
        <f>SUMPRODUCT(N(YEAR([D LIQUID])=YEAR(NC[[#This Row],[D LIQUID]])),N(MONTH([D LIQUID])=MONTH(NC[[#This Row],[D LIQUID]])),N(['[D/N']]="D"),[LUCRO OP])</f>
        <v>-136.55000000000001</v>
      </c>
      <c r="AF40" s="23">
        <f>[LUCRO N '[A']]+[LUCRO D]</f>
        <v>836.09000000000196</v>
      </c>
      <c r="AG40" s="23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1" spans="1:33">
      <c r="A41" s="21">
        <v>40</v>
      </c>
      <c r="B41" s="37" t="s">
        <v>25</v>
      </c>
      <c r="C41" s="21" t="s">
        <v>56</v>
      </c>
      <c r="D41" s="38">
        <v>41060</v>
      </c>
      <c r="E41" s="37">
        <v>800</v>
      </c>
      <c r="F41" s="39">
        <v>2.46</v>
      </c>
      <c r="G41" s="39" t="s">
        <v>61</v>
      </c>
      <c r="H41" s="21" t="s">
        <v>21</v>
      </c>
      <c r="I41" s="38">
        <f>WORKDAY(NC[[#This Row],[DATA]],IF(['[A/O']]="A",3,1))</f>
        <v>41065</v>
      </c>
      <c r="J41" s="37">
        <f>EOMONTH(NC[[#This Row],[D LIQUID]],0)</f>
        <v>41090</v>
      </c>
      <c r="K41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L41" s="39">
        <f>[QTDE]*[PREÇO]</f>
        <v>1968</v>
      </c>
      <c r="M41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1968</v>
      </c>
      <c r="N41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0.35</v>
      </c>
      <c r="O41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P41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1" s="39">
        <f>SETUP!$E$3*SUMPRODUCT(N([DATA]=NC[[#This Row],[DATA]]),N([ID]&lt;=NC[[#This Row],[ID]]))</f>
        <v>14.9</v>
      </c>
      <c r="R41" s="39">
        <f>TRUNC([CORR. BASE]*SETUP!$F$3,2)</f>
        <v>0.28999999999999998</v>
      </c>
      <c r="S41" s="39">
        <f>TRUNC([CORR. BASE]*SETUP!$G$3,2)</f>
        <v>0.57999999999999996</v>
      </c>
      <c r="T41" s="39">
        <f>[VL LIQUID]-[TX LIQUID]-[EMOL]-[REGISTRO]-[CORR. BASE]-[ISS]-[OUTRAS]</f>
        <v>1951.75</v>
      </c>
      <c r="U41" s="39">
        <f>[LÍQUIDO]-SUMPRODUCT(N([DATA]=NC[[#This Row],[DATA]]),N([ID]=(NC[[#This Row],[ID]]-1)),[LÍQUIDO])</f>
        <v>1951.75</v>
      </c>
      <c r="V41" s="39">
        <f>ABS(U41)/E41</f>
        <v>2.4396874999999998</v>
      </c>
      <c r="W41" s="39">
        <f>TRUNC(IF(OR([OPER/TIPO]="CV",[OPER/TIPO]="VV"),     L41*SETUP!$H$3,     0),2)</f>
        <v>0.09</v>
      </c>
      <c r="X41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1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41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41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41" s="41">
        <f>IF(['[A/O']]="O",[LUCRO OP]*0.15,0)</f>
        <v>0</v>
      </c>
      <c r="AC41" s="42">
        <f>[LUCRO OP]/ABS([VALOR P/ OP])</f>
        <v>0</v>
      </c>
      <c r="AD41" s="39">
        <f>SUMPRODUCT(N(YEAR([D LIQUID])=YEAR(NC[[#This Row],[D LIQUID]])),N(MONTH([D LIQUID])=MONTH(NC[[#This Row],[D LIQUID]])),N(['[D/N']]="N"),[LUCRO OP])</f>
        <v>972.64000000000192</v>
      </c>
      <c r="AE41" s="39">
        <f>SUMPRODUCT(N(YEAR([D LIQUID])=YEAR(NC[[#This Row],[D LIQUID]])),N(MONTH([D LIQUID])=MONTH(NC[[#This Row],[D LIQUID]])),N(['[D/N']]="D"),[LUCRO OP])</f>
        <v>-136.55000000000001</v>
      </c>
      <c r="AF41" s="39">
        <f>[LUCRO N '[A']]+[LUCRO D]</f>
        <v>836.09000000000196</v>
      </c>
      <c r="AG41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2" spans="1:33">
      <c r="A42" s="30">
        <v>41</v>
      </c>
      <c r="B42" s="37" t="s">
        <v>25</v>
      </c>
      <c r="C42" s="21" t="s">
        <v>57</v>
      </c>
      <c r="D42" s="38">
        <v>41060</v>
      </c>
      <c r="E42" s="37">
        <v>800</v>
      </c>
      <c r="F42" s="39">
        <v>2.59</v>
      </c>
      <c r="G42" s="39" t="s">
        <v>61</v>
      </c>
      <c r="H42" s="21" t="s">
        <v>21</v>
      </c>
      <c r="I42" s="38">
        <f>WORKDAY(NC[[#This Row],[DATA]],IF(['[A/O']]="A",3,1))</f>
        <v>41065</v>
      </c>
      <c r="J42" s="37">
        <f>EOMONTH(NC[[#This Row],[D LIQUID]],0)</f>
        <v>41090</v>
      </c>
      <c r="K42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L42" s="39">
        <f>[QTDE]*[PREÇO]</f>
        <v>2072</v>
      </c>
      <c r="M42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-104</v>
      </c>
      <c r="N42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0.72</v>
      </c>
      <c r="O42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0.28000000000000003</v>
      </c>
      <c r="P42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2" s="39">
        <f>SETUP!$E$3*SUMPRODUCT(N([DATA]=NC[[#This Row],[DATA]]),N([ID]&lt;=NC[[#This Row],[ID]]))</f>
        <v>29.8</v>
      </c>
      <c r="R42" s="39">
        <f>TRUNC([CORR. BASE]*SETUP!$F$3,2)</f>
        <v>0.59</v>
      </c>
      <c r="S42" s="39">
        <f>TRUNC([CORR. BASE]*SETUP!$G$3,2)</f>
        <v>1.1599999999999999</v>
      </c>
      <c r="T42" s="39">
        <f>[VL LIQUID]-[TX LIQUID]-[EMOL]-[REGISTRO]-[CORR. BASE]-[ISS]-[OUTRAS]</f>
        <v>-136.55000000000001</v>
      </c>
      <c r="U42" s="39">
        <f>[LÍQUIDO]-SUMPRODUCT(N([DATA]=NC[[#This Row],[DATA]]),N([ID]=(NC[[#This Row],[ID]]-1)),[LÍQUIDO])</f>
        <v>-2088.3000000000002</v>
      </c>
      <c r="V42" s="39">
        <f>ABS(U42)/E42</f>
        <v>2.6103750000000003</v>
      </c>
      <c r="W42" s="39">
        <f>TRUNC(IF(OR([OPER/TIPO]="CV",[OPER/TIPO]="VV"),     L42*SETUP!$H$3,     0),2)</f>
        <v>0</v>
      </c>
      <c r="X42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2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42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0</v>
      </c>
      <c r="AA42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-136.55000000000001</v>
      </c>
      <c r="AB42" s="41">
        <f>IF(['[A/O']]="O",[LUCRO OP]*0.15,0)</f>
        <v>0</v>
      </c>
      <c r="AC42" s="42">
        <f>[LUCRO OP]/ABS([VALOR P/ OP])</f>
        <v>-6.5388114734473021E-2</v>
      </c>
      <c r="AD42" s="39">
        <f>SUMPRODUCT(N(YEAR([D LIQUID])=YEAR(NC[[#This Row],[D LIQUID]])),N(MONTH([D LIQUID])=MONTH(NC[[#This Row],[D LIQUID]])),N(['[D/N']]="N"),[LUCRO OP])</f>
        <v>972.64000000000192</v>
      </c>
      <c r="AE42" s="39">
        <f>SUMPRODUCT(N(YEAR([D LIQUID])=YEAR(NC[[#This Row],[D LIQUID]])),N(MONTH([D LIQUID])=MONTH(NC[[#This Row],[D LIQUID]])),N(['[D/N']]="D"),[LUCRO OP])</f>
        <v>-136.55000000000001</v>
      </c>
      <c r="AF42" s="39">
        <f>[LUCRO N '[A']]+[LUCRO D]</f>
        <v>836.09000000000196</v>
      </c>
      <c r="AG42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3" spans="1:33">
      <c r="A43" s="21">
        <v>42</v>
      </c>
      <c r="B43" s="37" t="s">
        <v>25</v>
      </c>
      <c r="C43" s="37" t="s">
        <v>56</v>
      </c>
      <c r="D43" s="38">
        <v>41064</v>
      </c>
      <c r="E43" s="37">
        <v>800</v>
      </c>
      <c r="F43" s="39">
        <v>2.4</v>
      </c>
      <c r="G43" s="39" t="s">
        <v>61</v>
      </c>
      <c r="H43" s="37" t="s">
        <v>12</v>
      </c>
      <c r="I43" s="38">
        <f>WORKDAY(NC[[#This Row],[DATA]],IF(['[A/O']]="A",3,1))</f>
        <v>41067</v>
      </c>
      <c r="J43" s="37">
        <f>EOMONTH(NC[[#This Row],[D LIQUID]],0)</f>
        <v>41090</v>
      </c>
      <c r="K43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L43" s="39">
        <f>[QTDE]*[PREÇO]</f>
        <v>1920</v>
      </c>
      <c r="M43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1920</v>
      </c>
      <c r="N43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0.52</v>
      </c>
      <c r="O43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0.13</v>
      </c>
      <c r="P43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3" s="39">
        <f>SETUP!$E$3*SUMPRODUCT(N([DATA]=NC[[#This Row],[DATA]]),N([ID]&lt;=NC[[#This Row],[ID]]))</f>
        <v>14.9</v>
      </c>
      <c r="R43" s="39">
        <f>TRUNC([CORR. BASE]*SETUP!$F$3,2)</f>
        <v>0.28999999999999998</v>
      </c>
      <c r="S43" s="39">
        <f>TRUNC([CORR. BASE]*SETUP!$G$3,2)</f>
        <v>0.57999999999999996</v>
      </c>
      <c r="T43" s="39">
        <f>[VL LIQUID]-[TX LIQUID]-[EMOL]-[REGISTRO]-[CORR. BASE]-[ISS]-[OUTRAS]</f>
        <v>1903.58</v>
      </c>
      <c r="U43" s="39">
        <f>[LÍQUIDO]-SUMPRODUCT(N([DATA]=NC[[#This Row],[DATA]]),N([ID]=(NC[[#This Row],[ID]]-1)),[LÍQUIDO])</f>
        <v>1903.58</v>
      </c>
      <c r="V43" s="39">
        <f>ABS(U43)/E43</f>
        <v>2.3794749999999998</v>
      </c>
      <c r="W43" s="39">
        <f>TRUNC(IF(OR([OPER/TIPO]="CV",[OPER/TIPO]="VV"),     L43*SETUP!$H$3,     0),2)</f>
        <v>0.09</v>
      </c>
      <c r="X43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-800</v>
      </c>
      <c r="Y43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43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A43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43" s="41">
        <f>IF(['[A/O']]="O",[LUCRO OP]*0.15,0)</f>
        <v>0</v>
      </c>
      <c r="AC43" s="42">
        <f>[LUCRO OP]/ABS([VALOR P/ OP])</f>
        <v>0</v>
      </c>
      <c r="AD43" s="39">
        <f>SUMPRODUCT(N(YEAR([D LIQUID])=YEAR(NC[[#This Row],[D LIQUID]])),N(MONTH([D LIQUID])=MONTH(NC[[#This Row],[D LIQUID]])),N(['[D/N']]="N"),[LUCRO OP])</f>
        <v>972.64000000000192</v>
      </c>
      <c r="AE43" s="39">
        <f>SUMPRODUCT(N(YEAR([D LIQUID])=YEAR(NC[[#This Row],[D LIQUID]])),N(MONTH([D LIQUID])=MONTH(NC[[#This Row],[D LIQUID]])),N(['[D/N']]="D"),[LUCRO OP])</f>
        <v>-136.55000000000001</v>
      </c>
      <c r="AF43" s="39">
        <f>[LUCRO N '[A']]+[LUCRO D]</f>
        <v>836.09000000000196</v>
      </c>
      <c r="AG43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4" spans="1:33">
      <c r="A44" s="30">
        <v>43</v>
      </c>
      <c r="B44" s="37" t="s">
        <v>67</v>
      </c>
      <c r="C44" s="37" t="s">
        <v>56</v>
      </c>
      <c r="D44" s="38">
        <v>41065</v>
      </c>
      <c r="E44" s="37">
        <v>400</v>
      </c>
      <c r="F44" s="39">
        <v>19.27</v>
      </c>
      <c r="G44" s="39" t="s">
        <v>61</v>
      </c>
      <c r="H44" s="37" t="s">
        <v>12</v>
      </c>
      <c r="I44" s="38">
        <f>WORKDAY(NC[[#This Row],[DATA]],IF(['[A/O']]="A",3,1))</f>
        <v>41068</v>
      </c>
      <c r="J44" s="37">
        <f>EOMONTH(NC[[#This Row],[D LIQUID]],0)</f>
        <v>41090</v>
      </c>
      <c r="K44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4" s="39">
        <f>[QTDE]*[PREÇO]</f>
        <v>7708</v>
      </c>
      <c r="M44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7708</v>
      </c>
      <c r="N44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2.11</v>
      </c>
      <c r="O44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0.53</v>
      </c>
      <c r="P44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4" s="39">
        <f>SETUP!$E$3*SUMPRODUCT(N([DATA]=NC[[#This Row],[DATA]]),N([ID]&lt;=NC[[#This Row],[ID]]))</f>
        <v>14.9</v>
      </c>
      <c r="R44" s="39">
        <f>TRUNC([CORR. BASE]*SETUP!$F$3,2)</f>
        <v>0.28999999999999998</v>
      </c>
      <c r="S44" s="39">
        <f>TRUNC([CORR. BASE]*SETUP!$G$3,2)</f>
        <v>0.57999999999999996</v>
      </c>
      <c r="T44" s="39">
        <f>[VL LIQUID]-[TX LIQUID]-[EMOL]-[REGISTRO]-[CORR. BASE]-[ISS]-[OUTRAS]</f>
        <v>7689.5900000000011</v>
      </c>
      <c r="U44" s="39">
        <f>[LÍQUIDO]-SUMPRODUCT(N([DATA]=NC[[#This Row],[DATA]]),N([ID]=(NC[[#This Row],[ID]]-1)),[LÍQUIDO])</f>
        <v>7689.5900000000011</v>
      </c>
      <c r="V44" s="39">
        <f>ABS(U44)/E44</f>
        <v>19.223975000000003</v>
      </c>
      <c r="W44" s="39">
        <f>TRUNC(IF(OR([OPER/TIPO]="CV",[OPER/TIPO]="VV"),     L44*SETUP!$H$3,     0),2)</f>
        <v>0.38</v>
      </c>
      <c r="X44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-400</v>
      </c>
      <c r="Y44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44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19.223975000000003</v>
      </c>
      <c r="AA44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44" s="41">
        <f>IF(['[A/O']]="O",[LUCRO OP]*0.15,0)</f>
        <v>0</v>
      </c>
      <c r="AC44" s="42">
        <f>[LUCRO OP]/ABS([VALOR P/ OP])</f>
        <v>0</v>
      </c>
      <c r="AD44" s="39">
        <f>SUMPRODUCT(N(YEAR([D LIQUID])=YEAR(NC[[#This Row],[D LIQUID]])),N(MONTH([D LIQUID])=MONTH(NC[[#This Row],[D LIQUID]])),N(['[D/N']]="N"),[LUCRO OP])</f>
        <v>972.64000000000192</v>
      </c>
      <c r="AE44" s="39">
        <f>SUMPRODUCT(N(YEAR([D LIQUID])=YEAR(NC[[#This Row],[D LIQUID]])),N(MONTH([D LIQUID])=MONTH(NC[[#This Row],[D LIQUID]])),N(['[D/N']]="D"),[LUCRO OP])</f>
        <v>-136.55000000000001</v>
      </c>
      <c r="AF44" s="39">
        <f>[LUCRO N '[A']]+[LUCRO D]</f>
        <v>836.09000000000196</v>
      </c>
      <c r="AG44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5" spans="1:33">
      <c r="A45" s="21">
        <v>44</v>
      </c>
      <c r="B45" s="37" t="s">
        <v>68</v>
      </c>
      <c r="C45" s="37" t="s">
        <v>56</v>
      </c>
      <c r="D45" s="38">
        <v>41065</v>
      </c>
      <c r="E45" s="37">
        <v>600</v>
      </c>
      <c r="F45" s="39">
        <v>10.74</v>
      </c>
      <c r="G45" s="39" t="s">
        <v>61</v>
      </c>
      <c r="H45" s="37" t="s">
        <v>12</v>
      </c>
      <c r="I45" s="38">
        <f>WORKDAY(NC[[#This Row],[DATA]],IF(['[A/O']]="A",3,1))</f>
        <v>41068</v>
      </c>
      <c r="J45" s="37">
        <f>EOMONTH(NC[[#This Row],[D LIQUID]],0)</f>
        <v>41090</v>
      </c>
      <c r="K45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5" s="39">
        <f>[QTDE]*[PREÇO]</f>
        <v>6444</v>
      </c>
      <c r="M45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14152</v>
      </c>
      <c r="N45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3.89</v>
      </c>
      <c r="O45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0.99</v>
      </c>
      <c r="P45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5" s="39">
        <f>SETUP!$E$3*SUMPRODUCT(N([DATA]=NC[[#This Row],[DATA]]),N([ID]&lt;=NC[[#This Row],[ID]]))</f>
        <v>29.8</v>
      </c>
      <c r="R45" s="39">
        <f>TRUNC([CORR. BASE]*SETUP!$F$3,2)</f>
        <v>0.59</v>
      </c>
      <c r="S45" s="39">
        <f>TRUNC([CORR. BASE]*SETUP!$G$3,2)</f>
        <v>1.1599999999999999</v>
      </c>
      <c r="T45" s="39">
        <f>[VL LIQUID]-[TX LIQUID]-[EMOL]-[REGISTRO]-[CORR. BASE]-[ISS]-[OUTRAS]</f>
        <v>14115.570000000002</v>
      </c>
      <c r="U45" s="39">
        <f>[LÍQUIDO]-SUMPRODUCT(N([DATA]=NC[[#This Row],[DATA]]),N([ID]=(NC[[#This Row],[ID]]-1)),[LÍQUIDO])</f>
        <v>6425.9800000000005</v>
      </c>
      <c r="V45" s="39">
        <f>ABS(U45)/E45</f>
        <v>10.709966666666668</v>
      </c>
      <c r="W45" s="39">
        <f>TRUNC(IF(OR([OPER/TIPO]="CV",[OPER/TIPO]="VV"),     L45*SETUP!$H$3,     0),2)</f>
        <v>0.32</v>
      </c>
      <c r="X45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-600</v>
      </c>
      <c r="Y45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0</v>
      </c>
      <c r="Z45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10.709966666666668</v>
      </c>
      <c r="AA45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0</v>
      </c>
      <c r="AB45" s="41">
        <f>IF(['[A/O']]="O",[LUCRO OP]*0.15,0)</f>
        <v>0</v>
      </c>
      <c r="AC45" s="42">
        <f>[LUCRO OP]/ABS([VALOR P/ OP])</f>
        <v>0</v>
      </c>
      <c r="AD45" s="39">
        <f>SUMPRODUCT(N(YEAR([D LIQUID])=YEAR(NC[[#This Row],[D LIQUID]])),N(MONTH([D LIQUID])=MONTH(NC[[#This Row],[D LIQUID]])),N(['[D/N']]="N"),[LUCRO OP])</f>
        <v>972.64000000000192</v>
      </c>
      <c r="AE45" s="39">
        <f>SUMPRODUCT(N(YEAR([D LIQUID])=YEAR(NC[[#This Row],[D LIQUID]])),N(MONTH([D LIQUID])=MONTH(NC[[#This Row],[D LIQUID]])),N(['[D/N']]="D"),[LUCRO OP])</f>
        <v>-136.55000000000001</v>
      </c>
      <c r="AF45" s="39">
        <f>[LUCRO N '[A']]+[LUCRO D]</f>
        <v>836.09000000000196</v>
      </c>
      <c r="AG45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6" spans="1:33">
      <c r="A46" s="30">
        <v>45</v>
      </c>
      <c r="B46" s="37" t="s">
        <v>25</v>
      </c>
      <c r="C46" s="21" t="s">
        <v>57</v>
      </c>
      <c r="D46" s="38">
        <v>41070</v>
      </c>
      <c r="E46" s="37">
        <v>800</v>
      </c>
      <c r="F46" s="39">
        <v>2.1800000000000002</v>
      </c>
      <c r="G46" s="39" t="s">
        <v>61</v>
      </c>
      <c r="H46" s="21" t="s">
        <v>12</v>
      </c>
      <c r="I46" s="38">
        <f>WORKDAY(NC[[#This Row],[DATA]],IF(['[A/O']]="A",3,1))</f>
        <v>41073</v>
      </c>
      <c r="J46" s="37">
        <f>EOMONTH(NC[[#This Row],[D LIQUID]],0)</f>
        <v>41090</v>
      </c>
      <c r="K46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4</v>
      </c>
      <c r="L46" s="39">
        <f>[QTDE]*[PREÇO]</f>
        <v>1744.0000000000002</v>
      </c>
      <c r="M46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-1744.0000000000002</v>
      </c>
      <c r="N46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0.47</v>
      </c>
      <c r="O46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0.12</v>
      </c>
      <c r="P46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6" s="39">
        <f>SETUP!$E$3*SUMPRODUCT(N([DATA]=NC[[#This Row],[DATA]]),N([ID]&lt;=NC[[#This Row],[ID]]))</f>
        <v>14.9</v>
      </c>
      <c r="R46" s="39">
        <f>TRUNC([CORR. BASE]*SETUP!$F$3,2)</f>
        <v>0.28999999999999998</v>
      </c>
      <c r="S46" s="39">
        <f>TRUNC([CORR. BASE]*SETUP!$G$3,2)</f>
        <v>0.57999999999999996</v>
      </c>
      <c r="T46" s="39">
        <f>[VL LIQUID]-[TX LIQUID]-[EMOL]-[REGISTRO]-[CORR. BASE]-[ISS]-[OUTRAS]</f>
        <v>-1760.3600000000001</v>
      </c>
      <c r="U46" s="39">
        <f>[LÍQUIDO]-SUMPRODUCT(N([DATA]=NC[[#This Row],[DATA]]),N([ID]=(NC[[#This Row],[ID]]-1)),[LÍQUIDO])</f>
        <v>-1760.3600000000001</v>
      </c>
      <c r="V46" s="39">
        <f>ABS(U46)/E46</f>
        <v>2.20045</v>
      </c>
      <c r="W46" s="39">
        <f>TRUNC(IF(OR([OPER/TIPO]="CV",[OPER/TIPO]="VV"),     L46*SETUP!$H$3,     0),2)</f>
        <v>0</v>
      </c>
      <c r="X46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6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2.20045</v>
      </c>
      <c r="Z46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2.3794749999999998</v>
      </c>
      <c r="AA46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143.2199999999998</v>
      </c>
      <c r="AB46" s="41">
        <f>IF(['[A/O']]="O",[LUCRO OP]*0.15,0)</f>
        <v>0</v>
      </c>
      <c r="AC46" s="42">
        <f>[LUCRO OP]/ABS([VALOR P/ OP])</f>
        <v>8.1358358517575835E-2</v>
      </c>
      <c r="AD46" s="39">
        <f>SUMPRODUCT(N(YEAR([D LIQUID])=YEAR(NC[[#This Row],[D LIQUID]])),N(MONTH([D LIQUID])=MONTH(NC[[#This Row],[D LIQUID]])),N(['[D/N']]="N"),[LUCRO OP])</f>
        <v>972.64000000000192</v>
      </c>
      <c r="AE46" s="39">
        <f>SUMPRODUCT(N(YEAR([D LIQUID])=YEAR(NC[[#This Row],[D LIQUID]])),N(MONTH([D LIQUID])=MONTH(NC[[#This Row],[D LIQUID]])),N(['[D/N']]="D"),[LUCRO OP])</f>
        <v>-136.55000000000001</v>
      </c>
      <c r="AF46" s="39">
        <f>[LUCRO N '[A']]+[LUCRO D]</f>
        <v>836.09000000000196</v>
      </c>
      <c r="AG46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7" spans="1:33">
      <c r="A47" s="21">
        <v>46</v>
      </c>
      <c r="B47" s="37" t="s">
        <v>67</v>
      </c>
      <c r="C47" s="21" t="s">
        <v>57</v>
      </c>
      <c r="D47" s="38">
        <v>41071</v>
      </c>
      <c r="E47" s="37">
        <v>400</v>
      </c>
      <c r="F47" s="39">
        <v>18.8</v>
      </c>
      <c r="G47" s="39" t="s">
        <v>61</v>
      </c>
      <c r="H47" s="21" t="s">
        <v>12</v>
      </c>
      <c r="I47" s="38">
        <f>WORKDAY(NC[[#This Row],[DATA]],IF(['[A/O']]="A",3,1))</f>
        <v>41074</v>
      </c>
      <c r="J47" s="37">
        <f>EOMONTH(NC[[#This Row],[D LIQUID]],0)</f>
        <v>41090</v>
      </c>
      <c r="K47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7" s="39">
        <f>[QTDE]*[PREÇO]</f>
        <v>7520</v>
      </c>
      <c r="M47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-7520</v>
      </c>
      <c r="N47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2.06</v>
      </c>
      <c r="O47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0.52</v>
      </c>
      <c r="P47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7" s="39">
        <f>SETUP!$E$3*SUMPRODUCT(N([DATA]=NC[[#This Row],[DATA]]),N([ID]&lt;=NC[[#This Row],[ID]]))</f>
        <v>14.9</v>
      </c>
      <c r="R47" s="39">
        <f>TRUNC([CORR. BASE]*SETUP!$F$3,2)</f>
        <v>0.28999999999999998</v>
      </c>
      <c r="S47" s="39">
        <f>TRUNC([CORR. BASE]*SETUP!$G$3,2)</f>
        <v>0.57999999999999996</v>
      </c>
      <c r="T47" s="39">
        <f>[VL LIQUID]-[TX LIQUID]-[EMOL]-[REGISTRO]-[CORR. BASE]-[ISS]-[OUTRAS]</f>
        <v>-7538.35</v>
      </c>
      <c r="U47" s="39">
        <f>[LÍQUIDO]-SUMPRODUCT(N([DATA]=NC[[#This Row],[DATA]]),N([ID]=(NC[[#This Row],[ID]]-1)),[LÍQUIDO])</f>
        <v>-7538.35</v>
      </c>
      <c r="V47" s="39">
        <f>ABS(U47)/E47</f>
        <v>18.845874999999999</v>
      </c>
      <c r="W47" s="39">
        <f>TRUNC(IF(OR([OPER/TIPO]="CV",[OPER/TIPO]="VV"),     L47*SETUP!$H$3,     0),2)</f>
        <v>0</v>
      </c>
      <c r="X47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7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18.845874999999999</v>
      </c>
      <c r="Z47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19.223975000000003</v>
      </c>
      <c r="AA47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151.24000000000137</v>
      </c>
      <c r="AB47" s="41">
        <f>IF(['[A/O']]="O",[LUCRO OP]*0.15,0)</f>
        <v>0</v>
      </c>
      <c r="AC47" s="42">
        <f>[LUCRO OP]/ABS([VALOR P/ OP])</f>
        <v>2.0062745826341488E-2</v>
      </c>
      <c r="AD47" s="39">
        <f>SUMPRODUCT(N(YEAR([D LIQUID])=YEAR(NC[[#This Row],[D LIQUID]])),N(MONTH([D LIQUID])=MONTH(NC[[#This Row],[D LIQUID]])),N(['[D/N']]="N"),[LUCRO OP])</f>
        <v>972.64000000000192</v>
      </c>
      <c r="AE47" s="39">
        <f>SUMPRODUCT(N(YEAR([D LIQUID])=YEAR(NC[[#This Row],[D LIQUID]])),N(MONTH([D LIQUID])=MONTH(NC[[#This Row],[D LIQUID]])),N(['[D/N']]="D"),[LUCRO OP])</f>
        <v>-136.55000000000001</v>
      </c>
      <c r="AF47" s="39">
        <f>[LUCRO N '[A']]+[LUCRO D]</f>
        <v>836.09000000000196</v>
      </c>
      <c r="AG47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8" spans="1:33">
      <c r="A48" s="30">
        <v>47</v>
      </c>
      <c r="B48" s="37" t="s">
        <v>68</v>
      </c>
      <c r="C48" s="21" t="s">
        <v>57</v>
      </c>
      <c r="D48" s="38">
        <v>41072</v>
      </c>
      <c r="E48" s="37">
        <v>600</v>
      </c>
      <c r="F48" s="39">
        <v>10.65</v>
      </c>
      <c r="G48" s="39" t="s">
        <v>61</v>
      </c>
      <c r="H48" s="21" t="s">
        <v>12</v>
      </c>
      <c r="I48" s="38">
        <f>WORKDAY(NC[[#This Row],[DATA]],IF(['[A/O']]="A",3,1))</f>
        <v>41075</v>
      </c>
      <c r="J48" s="37">
        <f>EOMONTH(NC[[#This Row],[D LIQUID]],0)</f>
        <v>41090</v>
      </c>
      <c r="K48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8" s="39">
        <f>[QTDE]*[PREÇO]</f>
        <v>6390</v>
      </c>
      <c r="M48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-6390</v>
      </c>
      <c r="N48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1.75</v>
      </c>
      <c r="O48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0.44</v>
      </c>
      <c r="P48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8" s="39">
        <f>SETUP!$E$3*SUMPRODUCT(N([DATA]=NC[[#This Row],[DATA]]),N([ID]&lt;=NC[[#This Row],[ID]]))</f>
        <v>14.9</v>
      </c>
      <c r="R48" s="39">
        <f>TRUNC([CORR. BASE]*SETUP!$F$3,2)</f>
        <v>0.28999999999999998</v>
      </c>
      <c r="S48" s="39">
        <f>TRUNC([CORR. BASE]*SETUP!$G$3,2)</f>
        <v>0.57999999999999996</v>
      </c>
      <c r="T48" s="39">
        <f>[VL LIQUID]-[TX LIQUID]-[EMOL]-[REGISTRO]-[CORR. BASE]-[ISS]-[OUTRAS]</f>
        <v>-6407.9599999999991</v>
      </c>
      <c r="U48" s="39">
        <f>[LÍQUIDO]-SUMPRODUCT(N([DATA]=NC[[#This Row],[DATA]]),N([ID]=(NC[[#This Row],[ID]]-1)),[LÍQUIDO])</f>
        <v>-6407.9599999999991</v>
      </c>
      <c r="V48" s="39">
        <f>ABS(U48)/E48</f>
        <v>10.679933333333333</v>
      </c>
      <c r="W48" s="39">
        <f>TRUNC(IF(OR([OPER/TIPO]="CV",[OPER/TIPO]="VV"),     L48*SETUP!$H$3,     0),2)</f>
        <v>0</v>
      </c>
      <c r="X48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8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10.679933333333333</v>
      </c>
      <c r="Z48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10.709966666666668</v>
      </c>
      <c r="AA48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18.020000000001346</v>
      </c>
      <c r="AB48" s="41">
        <f>IF(['[A/O']]="O",[LUCRO OP]*0.15,0)</f>
        <v>0</v>
      </c>
      <c r="AC48" s="42">
        <f>[LUCRO OP]/ABS([VALOR P/ OP])</f>
        <v>2.8121274165259064E-3</v>
      </c>
      <c r="AD48" s="39">
        <f>SUMPRODUCT(N(YEAR([D LIQUID])=YEAR(NC[[#This Row],[D LIQUID]])),N(MONTH([D LIQUID])=MONTH(NC[[#This Row],[D LIQUID]])),N(['[D/N']]="N"),[LUCRO OP])</f>
        <v>972.64000000000192</v>
      </c>
      <c r="AE48" s="39">
        <f>SUMPRODUCT(N(YEAR([D LIQUID])=YEAR(NC[[#This Row],[D LIQUID]])),N(MONTH([D LIQUID])=MONTH(NC[[#This Row],[D LIQUID]])),N(['[D/N']]="D"),[LUCRO OP])</f>
        <v>-136.55000000000001</v>
      </c>
      <c r="AF48" s="39">
        <f>[LUCRO N '[A']]+[LUCRO D]</f>
        <v>836.09000000000196</v>
      </c>
      <c r="AG48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49" spans="1:33">
      <c r="A49" s="21">
        <v>48</v>
      </c>
      <c r="B49" s="37" t="s">
        <v>66</v>
      </c>
      <c r="C49" s="21" t="s">
        <v>57</v>
      </c>
      <c r="D49" s="38">
        <v>41073</v>
      </c>
      <c r="E49" s="37">
        <v>500</v>
      </c>
      <c r="F49" s="39">
        <v>3.23</v>
      </c>
      <c r="G49" s="39" t="s">
        <v>61</v>
      </c>
      <c r="H49" s="21" t="s">
        <v>12</v>
      </c>
      <c r="I49" s="38">
        <f>WORKDAY(NC[[#This Row],[DATA]],IF(['[A/O']]="A",3,1))</f>
        <v>41078</v>
      </c>
      <c r="J49" s="37">
        <f>EOMONTH(NC[[#This Row],[D LIQUID]],0)</f>
        <v>41090</v>
      </c>
      <c r="K49" s="37">
        <f>IF(OR([OPER/TIPO]="CC",[OPER/TIPO]="CV"),     SUMPRODUCT(N([ATIVO]=NC[[#This Row],[ATIVO]]),N(['[D/N']]="N"),N([OPER/TIPO]="CC"))+SUMPRODUCT(N([ID]&lt;NC[[#This Row],[ID]]),N([ATIVO]=NC[[#This Row],[ATIVO]]),N(['[D/N']]="N"),N([SALDO]=0)),     SUMPRODUCT(N([ATIVO]=NC[[#This Row],[ATIVO]]),N(['[D/N']]="N"),N([OPER/TIPO]="VV"))+SUMPRODUCT(N([ID]&lt;NC[[#This Row],[ID]]),N([ATIVO]=NC[[#This Row],[ATIVO]]),N(['[D/N']]="N"),N([SALDO]=0)))</f>
        <v>1</v>
      </c>
      <c r="L49" s="39">
        <f>[QTDE]*[PREÇO]</f>
        <v>1615</v>
      </c>
      <c r="M49" s="39">
        <f>(SUMPRODUCT(N([DATA]=NC[[#This Row],[DATA]]),N([ID]&lt;=NC[[#This Row],[ID]]),N([OPER/TIPO]="CV"),[VALOR])  +  SUMPRODUCT(N([DATA]=NC[[#This Row],[DATA]]),N([ID]&lt;=NC[[#This Row],[ID]]),N([OPER/TIPO]="VV"),[VALOR]) )  -  (SUMPRODUCT(N([DATA]=NC[[#This Row],[DATA]]),N([ID]&lt;=NC[[#This Row],[ID]]),N([OPER/TIPO]="CC"),[VALOR])  +  SUMPRODUCT(N([DATA]=NC[[#This Row],[DATA]]),N([ID]&lt;=NC[[#This Row],[ID]]),N([OPER/TIPO]="VC"),[VALOR]))</f>
        <v>-1615</v>
      </c>
      <c r="N49" s="39">
        <f>TRUNC(SUMPRODUCT(N([DATA]=NC[[#This Row],[DATA]]),N([ID]&lt;=NC[[#This Row],[ID]]),N(['[A/O']]="A"),N(['[D/N']]="D"),[VALOR]*SETUP!$D$3)  +  SUMPRODUCT(N([DATA]=NC[[#This Row],[DATA]]),N([ID]&lt;=NC[[#This Row],[ID]]),N(['[A/O']]="A"),N(['[D/N']]="N"),[VALOR]*SETUP!$B$3)  +  SUMPRODUCT(N([DATA]=NC[[#This Row],[DATA]]),N([ID]&lt;=NC[[#This Row],[ID]]),N(['[A/O']]="O"),N(['[D/N']]="N"),[VALOR]*SETUP!$B$7)  +  SUMPRODUCT(N([DATA]=NC[[#This Row],[DATA]]),N([ID]&lt;=NC[[#This Row],[ID]]),N(['[A/O']]="O"),N(['[D/N']]="D"),[VALOR]*SETUP!$E$7),    2)</f>
        <v>0.44</v>
      </c>
      <c r="O49" s="39">
        <f>TRUNC(SUMPRODUCT(N([DATA]=NC[[#This Row],[DATA]]),N([ID]&lt;=NC[[#This Row],[ID]]),N(['[A/O']]="A"),[VALOR]*SETUP!$A$3)  +  SUMPRODUCT(N([DATA]=NC[[#This Row],[DATA]]),N([ID]&lt;=NC[[#This Row],[ID]]),N(['[A/O']]="O"),N(['[D/N']]="N"),[VALOR]*SETUP!$A$7)  +  SUMPRODUCT(N([DATA]=NC[[#This Row],[DATA]]),N([ID]&lt;=NC[[#This Row],[ID]]),N(['[A/O']]="O"),N(['[D/N']]="D"),[VALOR]*SETUP!$D$7),    2)</f>
        <v>0.11</v>
      </c>
      <c r="P49" s="39">
        <f>TRUNC(SUMPRODUCT(N([DATA]=NC[[#This Row],[DATA]]),N([ID]&lt;=NC[[#This Row],[ID]]),N(['[A/O']]="O"),N(['[D/N']]="N"),[VALOR]*SETUP!$C$7)  +  SUMPRODUCT(N([DATA]=NC[[#This Row],[DATA]]),N([ID]&lt;=NC[[#This Row],[ID]]),N(['[A/O']]="O"),N(['[D/N']]="D"),[VALOR]*SETUP!$F$7),2)</f>
        <v>0</v>
      </c>
      <c r="Q49" s="39">
        <f>SETUP!$E$3*SUMPRODUCT(N([DATA]=NC[[#This Row],[DATA]]),N([ID]&lt;=NC[[#This Row],[ID]]))</f>
        <v>14.9</v>
      </c>
      <c r="R49" s="39">
        <f>TRUNC([CORR. BASE]*SETUP!$F$3,2)</f>
        <v>0.28999999999999998</v>
      </c>
      <c r="S49" s="39">
        <f>TRUNC([CORR. BASE]*SETUP!$G$3,2)</f>
        <v>0.57999999999999996</v>
      </c>
      <c r="T49" s="39">
        <f>[VL LIQUID]-[TX LIQUID]-[EMOL]-[REGISTRO]-[CORR. BASE]-[ISS]-[OUTRAS]</f>
        <v>-1631.32</v>
      </c>
      <c r="U49" s="39">
        <f>[LÍQUIDO]-SUMPRODUCT(N([DATA]=NC[[#This Row],[DATA]]),N([ID]=(NC[[#This Row],[ID]]-1)),[LÍQUIDO])</f>
        <v>-1631.32</v>
      </c>
      <c r="V49" s="39">
        <f>ABS(U49)/E49</f>
        <v>3.2626399999999998</v>
      </c>
      <c r="W49" s="39">
        <f>TRUNC(IF(OR([OPER/TIPO]="CV",[OPER/TIPO]="VV"),     L49*SETUP!$H$3,     0),2)</f>
        <v>0</v>
      </c>
      <c r="X49" s="37">
        <f>IF(['[D/N']]="D",0,IF(OR([OPER/TIPO]="CC",[OPER/TIPO]="CV"),SUMPRODUCT(N([ATIVO]=NC[[#This Row],[ATIVO]]),N([OPER/TIPO]="CC"),N(['[D/N']]="N"),N([ID]&lt;=NC[[#This Row],[ID]]),[QTDE])-SUMPRODUCT(N([ATIVO]=NC[[#This Row],[ATIVO]]),N([OPER/TIPO]="CV"),N(['[D/N']]="N"),N([ID]&lt;=NC[[#This Row],[ID]]),[QTDE]),            SUMPRODUCT(N([ATIVO]=NC[[#This Row],[ATIVO]]),N([OPER/TIPO]="VC"),N(['[D/N']]="N"),N([ID]&lt;=NC[[#This Row],[ID]]),[QTDE])-SUMPRODUCT(N([ATIVO]=NC[[#This Row],[ATIVO]]),N([OPER/TIPO]="VV"),N(['[D/N']]="N"),N([ID]&lt;=NC[[#This Row],[ID]]),[QTDE])))</f>
        <v>0</v>
      </c>
      <c r="Y49" s="40">
        <f>IF(['[D/N']]="D",     0,     IF(OR([OPER/TIPO]="CC",[OPER/TIPO]="CV"),     ABS(SUMPRODUCT(N([ATIVO]=NC[[#This Row],[ATIVO]]),N([OPER/TIPO]="CC"),N(['[D/N']]="N"),N([ID]&lt;=NC[[#This Row],[ID]]),N([PAR]=NC[[#This Row],[PAR]]),[VALOR P/ OP]))  /  SUMPRODUCT(N([ATIVO]=NC[[#This Row],[ATIVO]]),N([OPER/TIPO]="CC"),N(['[D/N']]="N"),N([ID]&lt;=NC[[#This Row],[ID]]),N([PAR]=NC[[#This Row],[PAR]]),[QTDE]),     IF([OPER/TIPO]="VC",[MEDIO],0)))</f>
        <v>3.2626399999999998</v>
      </c>
      <c r="Z49" s="40">
        <f>IF(['[D/N']]="D",     0,     IF(OR([OPER/TIPO]="VV",[OPER/TIPO]="VC"),     ABS(SUMPRODUCT(N([ATIVO]=NC[[#This Row],[ATIVO]]),N([OPER/TIPO]="VV"),N(['[D/N']]="N"),N([ID]&lt;=NC[[#This Row],[ID]]),N([PAR]=NC[[#This Row],[PAR]]),[VALOR P/ OP]))  /  SUMPRODUCT(N([ATIVO]=NC[[#This Row],[ATIVO]]),N([OPER/TIPO]="VV"),N(['[D/N']]="N"),N([ID]&lt;=NC[[#This Row],[ID]]),N([PAR]=NC[[#This Row],[PAR]]),[QTDE]),     IF([OPER/TIPO]="CV",[MEDIO],0)))</f>
        <v>4.0428399999999991</v>
      </c>
      <c r="AA49" s="39">
        <f>IF(['[D/N']]="D", IF(OR([OPER/TIPO]="CC", [OPER/TIPO]="VV"), 0, IF([OPER/TIPO]="CV", SUMPRODUCT(N([DATA]=NC[[#This Row],[DATA]]),N([OPER/TIPO]="CV"), [LÍQUIDO]), SUMPRODUCT(N([DATA]=NC[[#This Row],[DATA]]),N([OPER/TIPO]="VC"), [LÍQUIDO]))), IF(AND([MED CP]&gt;0,[MED VD]&gt;0),([MED VD]-[MED CP])*[QTDE],0))</f>
        <v>390.09999999999968</v>
      </c>
      <c r="AB49" s="41">
        <f>IF(['[A/O']]="O",[LUCRO OP]*0.15,0)</f>
        <v>0</v>
      </c>
      <c r="AC49" s="42">
        <f>[LUCRO OP]/ABS([VALOR P/ OP])</f>
        <v>0.23913150087046053</v>
      </c>
      <c r="AD49" s="39">
        <f>SUMPRODUCT(N(YEAR([D LIQUID])=YEAR(NC[[#This Row],[D LIQUID]])),N(MONTH([D LIQUID])=MONTH(NC[[#This Row],[D LIQUID]])),N(['[D/N']]="N"),[LUCRO OP])</f>
        <v>972.64000000000192</v>
      </c>
      <c r="AE49" s="39">
        <f>SUMPRODUCT(N(YEAR([D LIQUID])=YEAR(NC[[#This Row],[D LIQUID]])),N(MONTH([D LIQUID])=MONTH(NC[[#This Row],[D LIQUID]])),N(['[D/N']]="D"),[LUCRO OP])</f>
        <v>-136.55000000000001</v>
      </c>
      <c r="AF49" s="39">
        <f>[LUCRO N '[A']]+[LUCRO D]</f>
        <v>836.09000000000196</v>
      </c>
      <c r="AG49" s="39">
        <f>SUMPRODUCT(N(MONTH([D LIQUID])=MONTH(NC[[#This Row],[D LIQUID]])),N(YEAR([D LIQUID])=YEAR(NC[[#This Row],[D LIQUID]])),N([OPER/TIPO]="CV"),[VALOR])  +  SUMPRODUCT(N(MONTH([D LIQUID])=MONTH(NC[[#This Row],[D LIQUID]])),N(YEAR([D LIQUID])=YEAR(NC[[#This Row],[D LIQUID]])),N([OPER/TIPO]="VV"),[VALOR])</f>
        <v>18040</v>
      </c>
    </row>
    <row r="50" spans="1:33">
      <c r="A50" s="46" t="s">
        <v>32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39" t="s">
        <v>51</v>
      </c>
      <c r="U50" s="46"/>
      <c r="V50" s="46"/>
      <c r="W50" s="39">
        <f>SUBTOTAL(109,[IRRF])</f>
        <v>2.0100000000000002</v>
      </c>
      <c r="X50" s="39"/>
      <c r="Y50" s="46"/>
      <c r="Z50" s="46"/>
      <c r="AA50" s="39">
        <f>SUBTOTAL(109,[LUCRO OP])-NC[[#Totals],[IRRF OPÇÃO]]</f>
        <v>-961.59999999999764</v>
      </c>
      <c r="AB50" s="39">
        <f>SUBTOTAL(109,[IRRF OPÇÃO])</f>
        <v>0</v>
      </c>
      <c r="AC50" s="39"/>
      <c r="AD50" s="47"/>
      <c r="AE50" s="47"/>
      <c r="AF50" s="47">
        <f>NC[[#Totals],[LUCRO OP]]/NC[[#Totals],[LÍQUIDO]]</f>
        <v>-0.1421272079896298</v>
      </c>
      <c r="AG50" s="48">
        <f>IF(NC[[#Totals],[LUCRO OP]]&lt;0,ABS(NC[[#Totals],[LUCRO OP]]/(NC[[#Totals],[LUCRO OP]]+NC[[#Totals],[LÍQUIDO]])),-NC[[#Totals],[LUCRO OP]]/(NC[[#Totals],[LUCRO OP]]+NC[[#Totals],[LÍQUIDO]]))</f>
        <v>0.16567398956267601</v>
      </c>
    </row>
    <row r="51" spans="1:33">
      <c r="D51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sqref="A1:H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45" t="s">
        <v>14</v>
      </c>
      <c r="B1" s="45"/>
      <c r="C1" s="45" t="s">
        <v>15</v>
      </c>
      <c r="D1" s="45"/>
      <c r="E1" s="44" t="s">
        <v>16</v>
      </c>
      <c r="F1" s="44" t="s">
        <v>8</v>
      </c>
      <c r="G1" s="44" t="s">
        <v>17</v>
      </c>
      <c r="H1" s="44" t="s">
        <v>18</v>
      </c>
      <c r="I1" s="44" t="s">
        <v>50</v>
      </c>
    </row>
    <row r="2" spans="1:9">
      <c r="A2" s="3" t="s">
        <v>19</v>
      </c>
      <c r="B2" s="3" t="s">
        <v>20</v>
      </c>
      <c r="C2" s="3" t="s">
        <v>19</v>
      </c>
      <c r="D2" s="3" t="s">
        <v>20</v>
      </c>
      <c r="E2" s="44"/>
      <c r="F2" s="44"/>
      <c r="G2" s="44"/>
      <c r="H2" s="44"/>
      <c r="I2" s="44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>
      <c r="A4" s="43" t="s">
        <v>58</v>
      </c>
      <c r="B4" s="43"/>
      <c r="C4" s="43"/>
      <c r="D4" s="43"/>
      <c r="E4" s="43"/>
      <c r="F4" s="43"/>
    </row>
    <row r="5" spans="1:9">
      <c r="A5" s="43" t="s">
        <v>14</v>
      </c>
      <c r="B5" s="43"/>
      <c r="C5" s="43"/>
      <c r="D5" s="43" t="s">
        <v>15</v>
      </c>
      <c r="E5" s="43"/>
      <c r="F5" s="43"/>
    </row>
    <row r="6" spans="1:9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2012-06-05T20:16:04Z</dcterms:modified>
</cp:coreProperties>
</file>