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60" windowHeight="8520"/>
  </bookViews>
  <sheets>
    <sheet name="WTSa" sheetId="1" r:id="rId1"/>
    <sheet name="WTS" sheetId="3" r:id="rId2"/>
    <sheet name="SETUP" sheetId="2" r:id="rId3"/>
    <sheet name="SOMBRA" sheetId="4" r:id="rId4"/>
  </sheets>
  <calcPr calcId="124519"/>
</workbook>
</file>

<file path=xl/calcChain.xml><?xml version="1.0" encoding="utf-8"?>
<calcChain xmlns="http://schemas.openxmlformats.org/spreadsheetml/2006/main">
  <c r="K7" i="1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E6" i="4"/>
  <c r="F6"/>
  <c r="G6"/>
  <c r="H6"/>
  <c r="I6"/>
  <c r="J6"/>
  <c r="K6"/>
  <c r="L6"/>
  <c r="M6" a="1"/>
  <c r="M6"/>
  <c r="N6"/>
  <c r="E5" l="1"/>
  <c r="F5" s="1"/>
  <c r="I5" s="1"/>
  <c r="L5"/>
  <c r="K6" i="1"/>
  <c r="L6"/>
  <c r="M6"/>
  <c r="N6"/>
  <c r="P6" s="1"/>
  <c r="O6"/>
  <c r="E4" i="4"/>
  <c r="F4" s="1"/>
  <c r="I4" s="1"/>
  <c r="L4"/>
  <c r="K5" i="1"/>
  <c r="L5"/>
  <c r="M5" s="1"/>
  <c r="N5"/>
  <c r="P5" s="1"/>
  <c r="O5"/>
  <c r="K4"/>
  <c r="L4"/>
  <c r="M4"/>
  <c r="N4"/>
  <c r="P4" s="1"/>
  <c r="O4"/>
  <c r="E3" i="4"/>
  <c r="H3" s="1"/>
  <c r="K3" s="1"/>
  <c r="F3"/>
  <c r="I3" s="1"/>
  <c r="G3"/>
  <c r="J3" s="1"/>
  <c r="L3"/>
  <c r="L2"/>
  <c r="E2"/>
  <c r="F2" s="1"/>
  <c r="I2" s="1"/>
  <c r="K3" i="1"/>
  <c r="L3"/>
  <c r="M3" s="1"/>
  <c r="N3"/>
  <c r="P3" s="1"/>
  <c r="O3"/>
  <c r="Q6" l="1"/>
  <c r="H5" i="4"/>
  <c r="K5" s="1"/>
  <c r="G5"/>
  <c r="J5" s="1"/>
  <c r="M5" s="1" a="1"/>
  <c r="M5" s="1"/>
  <c r="N5" s="1"/>
  <c r="R6" i="1"/>
  <c r="T6" s="1"/>
  <c r="S6"/>
  <c r="AE6"/>
  <c r="Q3"/>
  <c r="H4" i="4"/>
  <c r="K4" s="1"/>
  <c r="G4"/>
  <c r="J4" s="1"/>
  <c r="Q5" i="1"/>
  <c r="S5" s="1"/>
  <c r="Q4"/>
  <c r="S4" s="1"/>
  <c r="M3" i="4" a="1"/>
  <c r="M3" s="1"/>
  <c r="H2"/>
  <c r="K2" s="1"/>
  <c r="G2"/>
  <c r="J2" s="1"/>
  <c r="S3" i="1"/>
  <c r="R3"/>
  <c r="T3" s="1"/>
  <c r="R2" i="3"/>
  <c r="R3"/>
  <c r="P2"/>
  <c r="P3"/>
  <c r="O2"/>
  <c r="O3"/>
  <c r="N3"/>
  <c r="M3"/>
  <c r="K3"/>
  <c r="L3" s="1"/>
  <c r="S3" s="1"/>
  <c r="J3"/>
  <c r="N2"/>
  <c r="M2"/>
  <c r="K2"/>
  <c r="L2" s="1"/>
  <c r="S2" s="1"/>
  <c r="J2"/>
  <c r="C3" i="2"/>
  <c r="C4"/>
  <c r="C5"/>
  <c r="C6"/>
  <c r="C7"/>
  <c r="C2"/>
  <c r="K2" i="1"/>
  <c r="L2"/>
  <c r="M2" s="1"/>
  <c r="O2"/>
  <c r="N2"/>
  <c r="P2" s="1"/>
  <c r="Q2" s="1"/>
  <c r="U6" l="1"/>
  <c r="V6" s="1"/>
  <c r="M4" i="4" a="1"/>
  <c r="M4" s="1"/>
  <c r="N4" s="1"/>
  <c r="R5" i="1"/>
  <c r="T5" s="1"/>
  <c r="AE5" s="1"/>
  <c r="R4"/>
  <c r="T4" s="1"/>
  <c r="AE4" s="1"/>
  <c r="S2"/>
  <c r="AE3"/>
  <c r="N3" i="4"/>
  <c r="M2" a="1"/>
  <c r="M2" s="1"/>
  <c r="N2" s="1"/>
  <c r="U3" i="1"/>
  <c r="V3" s="1"/>
  <c r="X3" s="1"/>
  <c r="AC3" i="3"/>
  <c r="Q3"/>
  <c r="Q2"/>
  <c r="R2" i="1"/>
  <c r="T2" s="1"/>
  <c r="Y6" l="1"/>
  <c r="Z6" s="1"/>
  <c r="AA6" s="1"/>
  <c r="W6"/>
  <c r="X6"/>
  <c r="U5"/>
  <c r="V5" s="1"/>
  <c r="W5" s="1"/>
  <c r="U4"/>
  <c r="V4" s="1"/>
  <c r="Y4" s="1"/>
  <c r="Z4" s="1"/>
  <c r="AA4" s="1"/>
  <c r="AE2"/>
  <c r="W3"/>
  <c r="Y3"/>
  <c r="Z3" s="1"/>
  <c r="AA3" s="1"/>
  <c r="T3" i="3"/>
  <c r="V3" s="1"/>
  <c r="AC2"/>
  <c r="T2"/>
  <c r="V2" s="1"/>
  <c r="U2" i="1"/>
  <c r="V2" s="1"/>
  <c r="X2" s="1"/>
  <c r="X5" l="1"/>
  <c r="AB6"/>
  <c r="AC6" s="1"/>
  <c r="AD6" s="1"/>
  <c r="Y5"/>
  <c r="Z5" s="1"/>
  <c r="AA5" s="1"/>
  <c r="X4"/>
  <c r="W4"/>
  <c r="AB4"/>
  <c r="AC4" s="1"/>
  <c r="AB3"/>
  <c r="W3" i="3"/>
  <c r="X3" s="1"/>
  <c r="Y3" s="1"/>
  <c r="U3"/>
  <c r="U2"/>
  <c r="W2"/>
  <c r="X2" s="1"/>
  <c r="Y2" s="1"/>
  <c r="W2" i="1"/>
  <c r="Y2"/>
  <c r="Z2" s="1"/>
  <c r="AA2" s="1"/>
  <c r="AB5" l="1"/>
  <c r="AC5" s="1"/>
  <c r="AD5" s="1"/>
  <c r="AD4"/>
  <c r="AC3"/>
  <c r="AD3" s="1"/>
  <c r="Z2" i="3"/>
  <c r="AA2" s="1"/>
  <c r="AB2" s="1"/>
  <c r="Z3"/>
  <c r="AA3" s="1"/>
  <c r="AB3" s="1"/>
  <c r="AB2" i="1"/>
  <c r="AC2" l="1"/>
  <c r="AD2" s="1"/>
</calcChain>
</file>

<file path=xl/comments1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<sst xmlns="http://schemas.openxmlformats.org/spreadsheetml/2006/main" count="89" uniqueCount="52">
  <si>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</si>
  <si>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</si>
  <si>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</si>
  <si>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</si>
  <si>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</si>
  <si>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</si>
  <si>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</si>
  <si>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</si>
  <si>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</si>
  <si>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</si>
  <si>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</si>
  <si>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</si>
  <si>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</si>
  <si>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</si>
  <si>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</si>
  <si>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</si>
  <si>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</si>
  <si>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</si>
  <si>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</si>
  <si>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</si>
  <si>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</si>
  <si>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</si>
  <si>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</si>
  <si>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</si>
  <si>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</si>
  <si>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</si>
  <si>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</si>
  <si>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</si>
  <si>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PDGR3</t>
  </si>
  <si>
    <t>BISA3</t>
  </si>
  <si>
    <t>RETORNO</t>
  </si>
  <si>
    <t>RSID3</t>
  </si>
  <si>
    <t>GFSA3</t>
  </si>
  <si>
    <t>PATRIM.</t>
  </si>
  <si>
    <t>AGE</t>
  </si>
  <si>
    <t>% VOL</t>
  </si>
  <si>
    <t>MEIO</t>
  </si>
  <si>
    <t>CDL L</t>
  </si>
  <si>
    <t>CDL H</t>
  </si>
  <si>
    <t>BBAS3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</si>
  <si>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</si>
  <si>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</si>
  <si>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</si>
  <si>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</si>
  <si>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</si>
  <si>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</si>
  <si>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</si>
  <si>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</si>
  <si>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</si>
  <si>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</si>
  <si>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</si>
  <si>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GOLL4</t>
  </si>
</sst>
</file>

<file path=xl/styles.xml><?xml version="1.0" encoding="utf-8"?>
<styleSheet xmlns="http://schemas.openxmlformats.org/spreadsheetml/2006/main">
  <numFmts count="1">
    <numFmt numFmtId="44" formatCode="_(&quot;R$ &quot;* #,##0.00_);_(&quot;R$ &quot;* \(#,##0.00\);_(&quot;R$ 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8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4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4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44" fontId="2" fillId="0" borderId="0" xfId="1" applyNumberFormat="1" applyFont="1"/>
    <xf numFmtId="44" fontId="5" fillId="0" borderId="0" xfId="1" applyFont="1"/>
    <xf numFmtId="44" fontId="5" fillId="0" borderId="0" xfId="1" applyFont="1" applyBorder="1"/>
    <xf numFmtId="1" fontId="5" fillId="0" borderId="0" xfId="1" applyNumberFormat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0" fontId="5" fillId="0" borderId="0" xfId="0" applyFont="1" applyBorder="1"/>
    <xf numFmtId="4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44" fontId="6" fillId="0" borderId="0" xfId="1" applyFont="1" applyBorder="1"/>
    <xf numFmtId="10" fontId="6" fillId="0" borderId="0" xfId="2" applyNumberFormat="1" applyFont="1" applyBorder="1"/>
    <xf numFmtId="1" fontId="6" fillId="0" borderId="0" xfId="1" applyNumberFormat="1" applyFont="1" applyBorder="1"/>
    <xf numFmtId="9" fontId="6" fillId="0" borderId="0" xfId="2" applyFont="1" applyBorder="1"/>
    <xf numFmtId="1" fontId="6" fillId="0" borderId="0" xfId="2" applyNumberFormat="1" applyFont="1" applyBorder="1"/>
    <xf numFmtId="44" fontId="6" fillId="0" borderId="0" xfId="1" applyNumberFormat="1" applyFont="1" applyBorder="1"/>
    <xf numFmtId="44" fontId="6" fillId="0" borderId="0" xfId="0" applyNumberFormat="1" applyFont="1" applyBorder="1"/>
    <xf numFmtId="1" fontId="6" fillId="0" borderId="0" xfId="0" applyNumberFormat="1" applyFont="1" applyBorder="1"/>
    <xf numFmtId="2" fontId="6" fillId="0" borderId="0" xfId="1" applyNumberFormat="1" applyFont="1" applyBorder="1"/>
    <xf numFmtId="44" fontId="7" fillId="0" borderId="0" xfId="1" applyFont="1"/>
    <xf numFmtId="1" fontId="7" fillId="0" borderId="0" xfId="1" applyNumberFormat="1" applyFont="1"/>
    <xf numFmtId="10" fontId="7" fillId="0" borderId="0" xfId="2" applyNumberFormat="1" applyFont="1"/>
    <xf numFmtId="9" fontId="7" fillId="0" borderId="0" xfId="2" applyFont="1"/>
    <xf numFmtId="1" fontId="7" fillId="0" borderId="0" xfId="2" applyNumberFormat="1" applyFont="1"/>
    <xf numFmtId="44" fontId="7" fillId="0" borderId="0" xfId="1" applyNumberFormat="1" applyFont="1"/>
    <xf numFmtId="2" fontId="7" fillId="0" borderId="0" xfId="1" applyNumberFormat="1" applyFont="1"/>
    <xf numFmtId="0" fontId="7" fillId="0" borderId="0" xfId="0" applyFont="1"/>
    <xf numFmtId="0" fontId="2" fillId="2" borderId="0" xfId="0" applyFont="1" applyFill="1"/>
  </cellXfs>
  <cellStyles count="3">
    <cellStyle name="Moeda" xfId="1" builtinId="4"/>
    <cellStyle name="Normal" xfId="0" builtinId="0"/>
    <cellStyle name="Porcentagem" xfId="2" builtinId="5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AE7" totalsRowShown="0" headerRowDxfId="79" dataDxfId="78">
  <autoFilter ref="A1:AE7"/>
  <tableColumns count="31">
    <tableColumn id="31" name="ATIVO" dataDxfId="77"/>
    <tableColumn id="5" name="PATRIM." dataDxfId="76" dataCellStyle="Moeda"/>
    <tableColumn id="6" name="AGE" dataDxfId="75" dataCellStyle="Moeda"/>
    <tableColumn id="1" name="INICIO" dataDxfId="74" dataCellStyle="Moeda"/>
    <tableColumn id="2" name="FIM" dataDxfId="73" dataCellStyle="Moeda"/>
    <tableColumn id="9" name="% START" dataDxfId="72" dataCellStyle="Porcentagem"/>
    <tableColumn id="11" name="% STOP" dataDxfId="71" dataCellStyle="Porcentagem"/>
    <tableColumn id="10" name="% TGT" dataDxfId="70" dataCellStyle="Porcentagem"/>
    <tableColumn id="12" name="% VOL" dataDxfId="69" dataCellStyle="Porcentagem"/>
    <tableColumn id="13" name="% IN" dataDxfId="68" dataCellStyle="Porcentagem"/>
    <tableColumn id="19" name="PER" dataDxfId="67" dataCellStyle="Porcentagem">
      <calculatedColumnFormula>1</calculatedColumnFormula>
    </tableColumn>
    <tableColumn id="7" name="BASE RV" dataDxfId="66" dataCellStyle="Moeda">
      <calculatedColumnFormula>[PATRIM.] * (1 - [AGE] / 100)</calculatedColumnFormula>
    </tableColumn>
    <tableColumn id="8" name="RISCO" dataDxfId="65" dataCellStyle="Moeda">
      <calculatedColumnFormula>IF([BASE RV] &lt; SETUP!$A$2, [BASE RV] * SETUP!$B$2, IF([BASE RV] &lt; SETUP!$A$3, [BASE RV] * SETUP!$B$3, 0))</calculatedColumnFormula>
    </tableColumn>
    <tableColumn id="3" name="PERNA" dataDxfId="64" dataCellStyle="Moeda">
      <calculatedColumnFormula>IF([INICIO] &lt; [FIM], [FIM] - [INICIO], [INICIO] - [FIM])</calculatedColumnFormula>
    </tableColumn>
    <tableColumn id="4" name="% PERNA" dataDxfId="63" dataCellStyle="Porcentagem">
      <calculatedColumnFormula>[FIM] / [INICIO] - 1</calculatedColumnFormula>
    </tableColumn>
    <tableColumn id="15" name="RETORNO" dataDxfId="62" dataCellStyle="Moeda">
      <calculatedColumnFormula>ABS([PERNA] * [% IN] + IF([INICIO] &lt; [FIM], - [FIM], + [FIM]))</calculatedColumnFormula>
    </tableColumn>
    <tableColumn id="16" name="START" dataDxfId="61" dataCellStyle="Moeda">
      <calculatedColumnFormula>TRUNC([RETORNO] * IF([INICIO] &lt; [FIM], (1 - ABS([% PERNA]) * [% START] * 10), (1 + ABS([% PERNA]) * [% START] * 10)), 2)</calculatedColumnFormula>
    </tableColumn>
    <tableColumn id="17" name="STOP" dataDxfId="60">
      <calculatedColumnFormula>TRUNC([START] * IF([INICIO] &lt; [FIM], (1 - ABS([% PERNA]) * [% STOP] * 10), (1 + ABS([% PERNA]) * [% STOP] * 10)), 2)</calculatedColumnFormula>
    </tableColumn>
    <tableColumn id="18" name="PARCIAL" dataDxfId="59">
      <calculatedColumnFormula>[START] * IF([INICIO] &lt; [FIM], (1 + [% VOL] / 10 * 1.5 * [PER]), (1 - [% VOL] / 10 * 1.5 * [PER]))</calculatedColumnFormula>
    </tableColumn>
    <tableColumn id="20" name="TGT" dataDxfId="58">
      <calculatedColumnFormula>TRUNC(([STOP] + IF([INICIO] &lt; [FIM], [PERNA], - [PERNA])) * IF([INICIO] &lt; [FIM], (1 - ABS([% PERNA]) * [% TGT] * 10), (1 + ABS([% PERNA]) * [% TGT] * 10)), 2)</calculatedColumnFormula>
    </tableColumn>
    <tableColumn id="21" name="QTDE TMP" dataDxfId="57">
      <calculatedColumnFormula>ROUNDDOWN([RISCO] / (ABS([START] - [STOP])), 0)</calculatedColumnFormula>
    </tableColumn>
    <tableColumn id="22" name="QTDE" dataDxfId="56">
      <calculatedColumnFormula>[QTDE TMP] - MOD([QTDE TMP], 100)</calculatedColumnFormula>
    </tableColumn>
    <tableColumn id="23" name="VOLUME" dataDxfId="55">
      <calculatedColumnFormula>[QTDE] * [START]</calculatedColumnFormula>
    </tableColumn>
    <tableColumn id="24" name="PERDA" dataDxfId="54">
      <calculatedColumnFormula>ABS([START] - [STOP]) * [QTDE] + 30</calculatedColumnFormula>
    </tableColumn>
    <tableColumn id="27" name="QTDE PAR TMP" dataDxfId="53" dataCellStyle="Moeda">
      <calculatedColumnFormula>[QTDE] / 2</calculatedColumnFormula>
    </tableColumn>
    <tableColumn id="28" name="QTDE PAR" dataDxfId="52" dataCellStyle="Moeda">
      <calculatedColumnFormula>[QTDE PAR TMP] + MOD([QTDE PAR TMP], 100)</calculatedColumnFormula>
    </tableColumn>
    <tableColumn id="25" name="LUCRO PAR" dataDxfId="51">
      <calculatedColumnFormula>ABS([PARCIAL] - [START]) * [QTDE PAR] - 30</calculatedColumnFormula>
    </tableColumn>
    <tableColumn id="29" name="QTDE ALVO" dataDxfId="50" dataCellStyle="Moeda">
      <calculatedColumnFormula>[QTDE] - [QTDE PAR]</calculatedColumnFormula>
    </tableColumn>
    <tableColumn id="26" name="LUCRO ALVO" dataDxfId="49">
      <calculatedColumnFormula>ABS([TGT] - [START]) * [QTDE ALVO] + [LUCRO PAR] - 15</calculatedColumnFormula>
    </tableColumn>
    <tableColumn id="30" name="RISCO:1" dataDxfId="48" dataCellStyle="Moeda">
      <calculatedColumnFormula>[LUCRO ALVO] / [PERDA]</calculatedColumnFormula>
    </tableColumn>
    <tableColumn id="14" name="% 85" dataDxfId="47" dataCellStyle="Moeda">
      <calculatedColumnFormula>IF([INICIO] &lt; [FIM],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AC3" totalsRowShown="0" headerRowDxfId="46" dataDxfId="45">
  <autoFilter ref="A1:AC3"/>
  <tableColumns count="29">
    <tableColumn id="31" name="ATIVO" dataDxfId="44"/>
    <tableColumn id="5" name="PATRIM." dataDxfId="43" dataCellStyle="Moeda"/>
    <tableColumn id="6" name="AGE" dataDxfId="42" dataCellStyle="Moeda"/>
    <tableColumn id="1" name="INICIO" dataDxfId="41" dataCellStyle="Moeda"/>
    <tableColumn id="2" name="MEIO" dataDxfId="40" dataCellStyle="Moeda"/>
    <tableColumn id="32" name="FIM" dataDxfId="39" dataCellStyle="Moeda"/>
    <tableColumn id="34" name="CDL H" dataDxfId="38" dataCellStyle="Moeda"/>
    <tableColumn id="33" name="CDL L" dataDxfId="37" dataCellStyle="Moeda"/>
    <tableColumn id="12" name="% VOL" dataDxfId="36" dataCellStyle="Porcentagem"/>
    <tableColumn id="19" name="PER" dataDxfId="35" dataCellStyle="Porcentagem">
      <calculatedColumnFormula>1</calculatedColumnFormula>
    </tableColumn>
    <tableColumn id="7" name="BASE RV" dataDxfId="34" dataCellStyle="Moeda">
      <calculatedColumnFormula>[PATRIM.] * (1 - [AGE] / 100)</calculatedColumnFormula>
    </tableColumn>
    <tableColumn id="8" name="RISCO" dataDxfId="33" dataCellStyle="Moeda">
      <calculatedColumnFormula>IF([BASE RV] &lt; SETUP!$A$2, [BASE RV] * SETUP!$B$2, IF([BASE RV] &lt; SETUP!$A$3, [BASE RV] * SETUP!$B$3, 0))</calculatedColumnFormula>
    </tableColumn>
    <tableColumn id="3" name="PERNA" dataDxfId="32" dataCellStyle="Moeda">
      <calculatedColumnFormula>IF([INICIO] &lt; [MEIO], [MEIO] - [INICIO], [INICIO] - [MEIO])</calculatedColumnFormula>
    </tableColumn>
    <tableColumn id="4" name="% PERNA" dataDxfId="31" dataCellStyle="Porcentagem">
      <calculatedColumnFormula>[MEIO] / [INICIO] - 1</calculatedColumnFormula>
    </tableColumn>
    <tableColumn id="16" name="START" dataDxfId="30" dataCellStyle="Moeda">
      <calculatedColumnFormula>IF([INICIO] &lt; [MEIO], [CDL H] + 0.02, [CDL L] - 0.02)</calculatedColumnFormula>
    </tableColumn>
    <tableColumn id="17" name="STOP" dataDxfId="29">
      <calculatedColumnFormula>IF([INICIO] &lt; [MEIO], [CDL L] - 0.02, [CDL H] + 0.02)</calculatedColumnFormula>
    </tableColumn>
    <tableColumn id="18" name="PARCIAL" dataDxfId="28">
      <calculatedColumnFormula>[START] * IF([INICIO] &lt; [MEIO], (1 + [% VOL] / 10 * 1.5 * [PER]), (1 - [% VOL] / 10 * 1.5 * [PER]))</calculatedColumnFormula>
    </tableColumn>
    <tableColumn id="20" name="TGT" dataDxfId="27">
      <calculatedColumnFormula>IF([INICIO] &lt; [MEIO],  [FIM] + ([MEIO] - [INICIO]), [FIM] - ([INICIO] - [MEIO]))</calculatedColumnFormula>
    </tableColumn>
    <tableColumn id="21" name="QTDE TMP" dataDxfId="26">
      <calculatedColumnFormula>ROUNDDOWN([RISCO] / (ABS([CDL H] - [CDL L])), 0)</calculatedColumnFormula>
    </tableColumn>
    <tableColumn id="22" name="QTDE" dataDxfId="25">
      <calculatedColumnFormula>[QTDE TMP] - MOD([QTDE TMP], 100)</calculatedColumnFormula>
    </tableColumn>
    <tableColumn id="23" name="VOLUME" dataDxfId="24">
      <calculatedColumnFormula>[QTDE] * [START]</calculatedColumnFormula>
    </tableColumn>
    <tableColumn id="24" name="PERDA" dataDxfId="23">
      <calculatedColumnFormula>ABS([START] - [STOP]) * [QTDE]</calculatedColumnFormula>
    </tableColumn>
    <tableColumn id="27" name="QTDE PAR TMP" dataDxfId="22" dataCellStyle="Moeda">
      <calculatedColumnFormula>[QTDE] / 2</calculatedColumnFormula>
    </tableColumn>
    <tableColumn id="28" name="QTDE PAR" dataDxfId="21" dataCellStyle="Moeda">
      <calculatedColumnFormula>[QTDE PAR TMP] + MOD([QTDE PAR TMP], 100)</calculatedColumnFormula>
    </tableColumn>
    <tableColumn id="25" name="LUCRO PAR" dataDxfId="20">
      <calculatedColumnFormula>ABS([PARCIAL] - [START]) * [QTDE PAR]</calculatedColumnFormula>
    </tableColumn>
    <tableColumn id="29" name="QTDE ALVO" dataDxfId="19" dataCellStyle="Moeda">
      <calculatedColumnFormula>[QTDE] - [QTDE PAR]</calculatedColumnFormula>
    </tableColumn>
    <tableColumn id="26" name="LUCRO ALVO" dataDxfId="18">
      <calculatedColumnFormula>ABS([TGT] - [START]) * [QTDE ALVO] + [LUCRO PAR]</calculatedColumnFormula>
    </tableColumn>
    <tableColumn id="30" name="RISCO:1" dataDxfId="17" dataCellStyle="Moeda">
      <calculatedColumnFormula>[LUCRO ALVO] / [PERDA]</calculatedColumnFormula>
    </tableColumn>
    <tableColumn id="14" name="% 85" dataDxfId="16" dataCellStyle="Moeda">
      <calculatedColumnFormula>IF([INICIO] &lt; [MEIO],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N6" totalsRowShown="0" headerRowDxfId="15" dataDxfId="14">
  <autoFilter ref="A1:N6"/>
  <tableColumns count="14">
    <tableColumn id="1" name="ATIVO" dataDxfId="13"/>
    <tableColumn id="2" name="INICIO" dataDxfId="12" dataCellStyle="Moeda"/>
    <tableColumn id="3" name="FIM" dataDxfId="11" dataCellStyle="Moeda"/>
    <tableColumn id="4" name="INFLEXAO MAX" dataDxfId="10" dataCellStyle="Moeda"/>
    <tableColumn id="9" name="PERNA" dataDxfId="9" dataCellStyle="Moeda">
      <calculatedColumnFormula>[INICIO]-[FIM]</calculatedColumnFormula>
    </tableColumn>
    <tableColumn id="8" name="33%" dataDxfId="8" dataCellStyle="Moeda">
      <calculatedColumnFormula>ROUND([PERNA] * 33%, 2) + [FIM]</calculatedColumnFormula>
    </tableColumn>
    <tableColumn id="7" name="50%" dataDxfId="7" dataCellStyle="Moeda">
      <calculatedColumnFormula>ROUND([PERNA] * 50%, 2) + [FIM]</calculatedColumnFormula>
    </tableColumn>
    <tableColumn id="6" name="60%" dataDxfId="6" dataCellStyle="Moeda">
      <calculatedColumnFormula>ROUND([PERNA] * 60%, 2) + [FIM]</calculatedColumnFormula>
    </tableColumn>
    <tableColumn id="12" name="DIF 33%" dataDxfId="5" dataCellStyle="Porcentagem">
      <calculatedColumnFormula>[INFLEXAO MAX]/[33%] - 1</calculatedColumnFormula>
    </tableColumn>
    <tableColumn id="11" name="DIF 50%" dataDxfId="4" dataCellStyle="Porcentagem">
      <calculatedColumnFormula>[INFLEXAO MAX]/[50%] - 1</calculatedColumnFormula>
    </tableColumn>
    <tableColumn id="10" name="DIF 60%" dataDxfId="3" dataCellStyle="Porcentagem">
      <calculatedColumnFormula>[INFLEXAO MAX]/[60%] - 1</calculatedColumnFormula>
    </tableColumn>
    <tableColumn id="13" name="% PERNA" dataDxfId="2" dataCellStyle="Porcentagem">
      <calculatedColumnFormula>1 - [FIM]/[INICIO]</calculatedColumnFormula>
    </tableColumn>
    <tableColumn id="5" name="% INFLEXÃO" dataDxfId="1" dataCellStyle="Porcentagem">
      <calculatedColumnFormula array="1">MIN(IF(Tabela3[[#This Row],[DIF 33%]:[DIF 60%]] &gt; 0, Tabela3[[#This Row],[DIF 33%]:[DIF 60%]]))</calculatedColumnFormula>
    </tableColumn>
    <tableColumn id="14" name="PERNA 10%" dataDxfId="0" dataCellStyle="Porcentagem">
      <calculatedColumnFormula>10% * [% INFLEXÃO] / 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R7" sqref="R7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5" width="6.85546875" style="4" bestFit="1" customWidth="1"/>
    <col min="6" max="6" width="8.5703125" style="4" bestFit="1" customWidth="1"/>
    <col min="7" max="7" width="7.85546875" style="4" bestFit="1" customWidth="1"/>
    <col min="8" max="8" width="7" style="4" bestFit="1" customWidth="1"/>
    <col min="9" max="9" width="7.28515625" style="3" bestFit="1" customWidth="1"/>
    <col min="10" max="10" width="6" style="11" bestFit="1" customWidth="1"/>
    <col min="11" max="11" width="9.85546875" style="1" hidden="1" customWidth="1"/>
    <col min="12" max="12" width="9" style="1" hidden="1" customWidth="1"/>
    <col min="13" max="13" width="0" style="1" hidden="1" customWidth="1"/>
    <col min="14" max="14" width="14" style="1" hidden="1" customWidth="1"/>
    <col min="15" max="15" width="8" style="2" hidden="1" customWidth="1"/>
    <col min="16" max="16" width="9.28515625" style="1" hidden="1" customWidth="1"/>
    <col min="17" max="17" width="8" style="1" bestFit="1" customWidth="1"/>
    <col min="18" max="18" width="7.28515625" style="1" bestFit="1" customWidth="1"/>
    <col min="19" max="19" width="9.7109375" style="1" bestFit="1" customWidth="1"/>
    <col min="20" max="20" width="6.85546875" style="11" bestFit="1" customWidth="1"/>
    <col min="21" max="21" width="10" style="11" hidden="1" customWidth="1"/>
    <col min="22" max="22" width="6.7109375" style="1" bestFit="1" customWidth="1"/>
    <col min="23" max="23" width="10.7109375" style="1" bestFit="1" customWidth="1"/>
    <col min="24" max="24" width="8.5703125" style="11" bestFit="1" customWidth="1"/>
    <col min="25" max="25" width="11.5703125" style="1" hidden="1" customWidth="1"/>
    <col min="26" max="26" width="10.5703125" style="1" hidden="1" customWidth="1"/>
    <col min="27" max="27" width="10.5703125" style="11" bestFit="1" customWidth="1"/>
    <col min="28" max="28" width="10.7109375" style="1" hidden="1" customWidth="1"/>
    <col min="29" max="29" width="11.5703125" style="9" bestFit="1" customWidth="1"/>
    <col min="30" max="30" width="8.28515625" style="2" bestFit="1" customWidth="1"/>
    <col min="31" max="16384" width="9.140625" style="1"/>
  </cols>
  <sheetData>
    <row r="1" spans="1:31">
      <c r="A1" s="18" t="s">
        <v>27</v>
      </c>
      <c r="B1" s="1" t="s">
        <v>33</v>
      </c>
      <c r="C1" s="1" t="s">
        <v>34</v>
      </c>
      <c r="D1" s="1" t="s">
        <v>0</v>
      </c>
      <c r="E1" s="1" t="s">
        <v>1</v>
      </c>
      <c r="F1" s="4" t="s">
        <v>7</v>
      </c>
      <c r="G1" s="4" t="s">
        <v>8</v>
      </c>
      <c r="H1" s="4" t="s">
        <v>26</v>
      </c>
      <c r="I1" s="4" t="s">
        <v>35</v>
      </c>
      <c r="J1" s="3" t="s">
        <v>24</v>
      </c>
      <c r="K1" s="10" t="s">
        <v>23</v>
      </c>
      <c r="L1" s="1" t="s">
        <v>4</v>
      </c>
      <c r="M1" s="1" t="s">
        <v>5</v>
      </c>
      <c r="N1" s="1" t="s">
        <v>2</v>
      </c>
      <c r="O1" s="1" t="s">
        <v>3</v>
      </c>
      <c r="P1" s="1" t="s">
        <v>30</v>
      </c>
      <c r="Q1" s="2" t="s">
        <v>9</v>
      </c>
      <c r="R1" s="2" t="s">
        <v>10</v>
      </c>
      <c r="S1" s="2" t="s">
        <v>11</v>
      </c>
      <c r="T1" s="2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19</v>
      </c>
      <c r="Z1" s="6" t="s">
        <v>20</v>
      </c>
      <c r="AA1" s="6" t="s">
        <v>17</v>
      </c>
      <c r="AB1" s="6" t="s">
        <v>21</v>
      </c>
      <c r="AC1" s="6" t="s">
        <v>18</v>
      </c>
      <c r="AD1" s="5" t="s">
        <v>22</v>
      </c>
      <c r="AE1" s="13" t="s">
        <v>25</v>
      </c>
    </row>
    <row r="2" spans="1:31" s="40" customFormat="1">
      <c r="A2" s="33" t="s">
        <v>28</v>
      </c>
      <c r="B2" s="33">
        <v>4800</v>
      </c>
      <c r="C2" s="34">
        <v>26</v>
      </c>
      <c r="D2" s="33">
        <v>5.17</v>
      </c>
      <c r="E2" s="33">
        <v>2.87</v>
      </c>
      <c r="F2" s="35">
        <v>2.5000000000000001E-3</v>
      </c>
      <c r="G2" s="35">
        <v>4.0000000000000001E-3</v>
      </c>
      <c r="H2" s="35">
        <v>1.5E-3</v>
      </c>
      <c r="I2" s="35">
        <v>0.97489999999999999</v>
      </c>
      <c r="J2" s="36">
        <v>0.5</v>
      </c>
      <c r="K2" s="37">
        <f>1</f>
        <v>1</v>
      </c>
      <c r="L2" s="33">
        <f>[PATRIM.] * (1 - [AGE] / 100)</f>
        <v>3552</v>
      </c>
      <c r="M2" s="33">
        <f>IF([BASE RV] &lt; SETUP!$A$2, [BASE RV] * SETUP!$B$2, IF([BASE RV] &lt; SETUP!$A$3, [BASE RV] * SETUP!$B$3, 0))</f>
        <v>71.040000000000006</v>
      </c>
      <c r="N2" s="33">
        <f>IF([INICIO] &lt; [FIM], [FIM] - [INICIO], [INICIO] - [FIM])</f>
        <v>2.2999999999999998</v>
      </c>
      <c r="O2" s="35">
        <f>[FIM] / [INICIO] - 1</f>
        <v>-0.44487427466150864</v>
      </c>
      <c r="P2" s="33">
        <f>ABS([PERNA] * [% IN] + IF([INICIO] &lt; [FIM], - [FIM], + [FIM]))</f>
        <v>4.0199999999999996</v>
      </c>
      <c r="Q2" s="33">
        <f>TRUNC([RETORNO] * IF([INICIO] &lt; [FIM], (1 - ABS([% PERNA]) * [% START] * 10), (1 + ABS([% PERNA]) * [% START] * 10)), 2)</f>
        <v>4.0599999999999996</v>
      </c>
      <c r="R2" s="33">
        <f>TRUNC([START] * IF([INICIO] &lt; [FIM], (1 - ABS([% PERNA]) * [% STOP] * 10), (1 + ABS([% PERNA]) * [% STOP] * 10)), 2)</f>
        <v>4.13</v>
      </c>
      <c r="S2" s="33">
        <f>[START] * IF([INICIO] &lt; [FIM], (1 + [% VOL] / 10 * 1.5 * [PER]), (1 - [% VOL] / 10 * 1.5 * [PER]))</f>
        <v>3.4662858999999995</v>
      </c>
      <c r="T2" s="33">
        <f>TRUNC(([STOP] + IF([INICIO] &lt; [FIM], [PERNA], - [PERNA])) * IF([INICIO] &lt; [FIM], (1 - ABS([% PERNA]) * [% TGT] * 10), (1 + ABS([% PERNA]) * [% TGT] * 10)), 2)</f>
        <v>1.84</v>
      </c>
      <c r="U2" s="34">
        <f>ROUNDDOWN([RISCO] / (ABS([START] - [STOP])), 0)</f>
        <v>1014</v>
      </c>
      <c r="V2" s="34">
        <f>[QTDE TMP] - MOD([QTDE TMP], 100)</f>
        <v>1000</v>
      </c>
      <c r="W2" s="38">
        <f>[QTDE] * [START]</f>
        <v>4059.9999999999995</v>
      </c>
      <c r="X2" s="38">
        <f>ABS([START] - [STOP]) * [QTDE] + 30</f>
        <v>100.00000000000028</v>
      </c>
      <c r="Y2" s="34">
        <f>[QTDE] / 2</f>
        <v>500</v>
      </c>
      <c r="Z2" s="34">
        <f>[QTDE PAR TMP] + MOD([QTDE PAR TMP], 100)</f>
        <v>500</v>
      </c>
      <c r="AA2" s="38">
        <f>ABS([PARCIAL] - [START]) * [QTDE PAR] - 30</f>
        <v>266.85705000000007</v>
      </c>
      <c r="AB2" s="34">
        <f>[QTDE] - [QTDE PAR]</f>
        <v>500</v>
      </c>
      <c r="AC2" s="38">
        <f>ABS([TGT] - [START]) * [QTDE ALVO] + [LUCRO PAR] - 15</f>
        <v>1361.8570499999998</v>
      </c>
      <c r="AD2" s="39">
        <f>[LUCRO ALVO] / [PERDA]</f>
        <v>13.61857049999996</v>
      </c>
      <c r="AE2" s="33">
        <f>IF([INICIO] &lt; [FIM], [START] + ABS([TGT] - [START]) * 85%, [START] - ABS([TGT] - [START]) * 85%)</f>
        <v>2.173</v>
      </c>
    </row>
    <row r="3" spans="1:31">
      <c r="A3" s="21" t="s">
        <v>40</v>
      </c>
      <c r="B3" s="14">
        <v>4800</v>
      </c>
      <c r="C3" s="15">
        <v>26</v>
      </c>
      <c r="D3" s="14">
        <v>2.54</v>
      </c>
      <c r="E3" s="14">
        <v>2.08</v>
      </c>
      <c r="F3" s="16">
        <v>2.5000000000000001E-3</v>
      </c>
      <c r="G3" s="16">
        <v>7.4000000000000003E-3</v>
      </c>
      <c r="H3" s="16">
        <v>1.5E-3</v>
      </c>
      <c r="I3" s="16">
        <v>0.68899999999999995</v>
      </c>
      <c r="J3" s="17">
        <v>0.5</v>
      </c>
      <c r="K3" s="10">
        <f>1</f>
        <v>1</v>
      </c>
      <c r="L3" s="2">
        <f>[PATRIM.] * (1 - [AGE] / 100)</f>
        <v>3552</v>
      </c>
      <c r="M3" s="2">
        <f>IF([BASE RV] &lt; SETUP!$A$2, [BASE RV] * SETUP!$B$2, IF([BASE RV] &lt; SETUP!$A$3, [BASE RV] * SETUP!$B$3, 0))</f>
        <v>71.040000000000006</v>
      </c>
      <c r="N3" s="2">
        <f>IF([INICIO] &lt; [FIM], [FIM] - [INICIO], [INICIO] - [FIM])</f>
        <v>0.45999999999999996</v>
      </c>
      <c r="O3" s="4">
        <f>[FIM] / [INICIO] - 1</f>
        <v>-0.18110236220472442</v>
      </c>
      <c r="P3" s="12">
        <f>ABS([PERNA] * [% IN] + IF([INICIO] &lt; [FIM], - [FIM], + [FIM]))</f>
        <v>2.31</v>
      </c>
      <c r="Q3" s="12">
        <f>TRUNC([RETORNO] * IF([INICIO] &lt; [FIM], (1 - ABS([% PERNA]) * [% START] * 10), (1 + ABS([% PERNA]) * [% START] * 10)), 2)</f>
        <v>2.3199999999999998</v>
      </c>
      <c r="R3" s="20">
        <f>TRUNC([START] * IF([INICIO] &lt; [FIM], (1 - ABS([% PERNA]) * [% STOP] * 10), (1 + ABS([% PERNA]) * [% STOP] * 10)), 2)</f>
        <v>2.35</v>
      </c>
      <c r="S3" s="20">
        <f>[START] * IF([INICIO] &lt; [FIM], (1 + [% VOL] / 10 * 1.5 * [PER]), (1 - [% VOL] / 10 * 1.5 * [PER]))</f>
        <v>2.080228</v>
      </c>
      <c r="T3" s="20">
        <f>TRUNC(([STOP] + IF([INICIO] &lt; [FIM], [PERNA], - [PERNA])) * IF([INICIO] &lt; [FIM], (1 - ABS([% PERNA]) * [% TGT] * 10), (1 + ABS([% PERNA]) * [% TGT] * 10)), 2)</f>
        <v>1.89</v>
      </c>
      <c r="U3" s="11">
        <f>ROUNDDOWN([RISCO] / (ABS([START] - [STOP])), 0)</f>
        <v>2367</v>
      </c>
      <c r="V3" s="11">
        <f>[QTDE TMP] - MOD([QTDE TMP], 100)</f>
        <v>2300</v>
      </c>
      <c r="W3" s="20">
        <f>[QTDE] * [START]</f>
        <v>5336</v>
      </c>
      <c r="X3" s="20">
        <f>ABS([START] - [STOP]) * [QTDE] + 30</f>
        <v>99.000000000000568</v>
      </c>
      <c r="Y3" s="6">
        <f>[QTDE] / 2</f>
        <v>1150</v>
      </c>
      <c r="Z3" s="6">
        <f>[QTDE PAR TMP] + MOD([QTDE PAR TMP], 100)</f>
        <v>1200</v>
      </c>
      <c r="AA3" s="20">
        <f>ABS([PARCIAL] - [START]) * [QTDE PAR] - 30</f>
        <v>257.72639999999984</v>
      </c>
      <c r="AB3" s="6">
        <f>[QTDE] - [QTDE PAR]</f>
        <v>1100</v>
      </c>
      <c r="AC3" s="20">
        <f>ABS([TGT] - [START]) * [QTDE ALVO] + [LUCRO PAR] - 15</f>
        <v>715.72639999999978</v>
      </c>
      <c r="AD3" s="5">
        <f>[LUCRO ALVO] / [PERDA]</f>
        <v>7.229559595959552</v>
      </c>
      <c r="AE3" s="12">
        <f>IF([INICIO] &lt; [FIM], [START] + ABS([TGT] - [START]) * 85%, [START] - ABS([TGT] - [START]) * 85%)</f>
        <v>1.9544999999999999</v>
      </c>
    </row>
    <row r="4" spans="1:31">
      <c r="A4" s="19" t="s">
        <v>32</v>
      </c>
      <c r="B4" s="14">
        <v>4800</v>
      </c>
      <c r="C4" s="15">
        <v>26</v>
      </c>
      <c r="D4" s="14">
        <v>4.03</v>
      </c>
      <c r="E4" s="14">
        <v>2.09</v>
      </c>
      <c r="F4" s="16">
        <v>2.5000000000000001E-3</v>
      </c>
      <c r="G4" s="16">
        <v>5.0000000000000001E-3</v>
      </c>
      <c r="H4" s="16">
        <v>1.5E-3</v>
      </c>
      <c r="I4" s="16">
        <v>0.34399999999999997</v>
      </c>
      <c r="J4" s="17">
        <v>0.5</v>
      </c>
      <c r="K4" s="10">
        <f>1</f>
        <v>1</v>
      </c>
      <c r="L4" s="2">
        <f>[PATRIM.] * (1 - [AGE] / 100)</f>
        <v>3552</v>
      </c>
      <c r="M4" s="2">
        <f>IF([BASE RV] &lt; SETUP!$A$2, [BASE RV] * SETUP!$B$2, IF([BASE RV] &lt; SETUP!$A$3, [BASE RV] * SETUP!$B$3, 0))</f>
        <v>71.040000000000006</v>
      </c>
      <c r="N4" s="2">
        <f>IF([INICIO] &lt; [FIM], [FIM] - [INICIO], [INICIO] - [FIM])</f>
        <v>1.9400000000000004</v>
      </c>
      <c r="O4" s="4">
        <f>[FIM] / [INICIO] - 1</f>
        <v>-0.48138957816377181</v>
      </c>
      <c r="P4" s="12">
        <f>ABS([PERNA] * [% IN] + IF([INICIO] &lt; [FIM], - [FIM], + [FIM]))</f>
        <v>3.06</v>
      </c>
      <c r="Q4" s="12">
        <f>TRUNC([RETORNO] * IF([INICIO] &lt; [FIM], (1 - ABS([% PERNA]) * [% START] * 10), (1 + ABS([% PERNA]) * [% START] * 10)), 2)</f>
        <v>3.09</v>
      </c>
      <c r="R4" s="20">
        <f>TRUNC([START] * IF([INICIO] &lt; [FIM], (1 - ABS([% PERNA]) * [% STOP] * 10), (1 + ABS([% PERNA]) * [% STOP] * 10)), 2)</f>
        <v>3.16</v>
      </c>
      <c r="S4" s="20">
        <f>[START] * IF([INICIO] &lt; [FIM], (1 + [% VOL] / 10 * 1.5 * [PER]), (1 - [% VOL] / 10 * 1.5 * [PER]))</f>
        <v>2.9305559999999997</v>
      </c>
      <c r="T4" s="20">
        <f>TRUNC(([STOP] + IF([INICIO] &lt; [FIM], [PERNA], - [PERNA])) * IF([INICIO] &lt; [FIM], (1 - ABS([% PERNA]) * [% TGT] * 10), (1 + ABS([% PERNA]) * [% TGT] * 10)), 2)</f>
        <v>1.22</v>
      </c>
      <c r="U4" s="11">
        <f>ROUNDDOWN([RISCO] / (ABS([START] - [STOP])), 0)</f>
        <v>1014</v>
      </c>
      <c r="V4" s="11">
        <f>[QTDE TMP] - MOD([QTDE TMP], 100)</f>
        <v>1000</v>
      </c>
      <c r="W4" s="20">
        <f>[QTDE] * [START]</f>
        <v>3090</v>
      </c>
      <c r="X4" s="20">
        <f>ABS([START] - [STOP]) * [QTDE] + 30</f>
        <v>100.00000000000028</v>
      </c>
      <c r="Y4" s="6">
        <f>[QTDE] / 2</f>
        <v>500</v>
      </c>
      <c r="Z4" s="6">
        <f>[QTDE PAR TMP] + MOD([QTDE PAR TMP], 100)</f>
        <v>500</v>
      </c>
      <c r="AA4" s="20">
        <f>ABS([PARCIAL] - [START]) * [QTDE PAR] - 30</f>
        <v>49.722000000000065</v>
      </c>
      <c r="AB4" s="6">
        <f>[QTDE] - [QTDE PAR]</f>
        <v>500</v>
      </c>
      <c r="AC4" s="20">
        <f>ABS([TGT] - [START]) * [QTDE ALVO] + [LUCRO PAR] - 15</f>
        <v>969.72199999999998</v>
      </c>
      <c r="AD4" s="5">
        <f>[LUCRO ALVO] / [PERDA]</f>
        <v>9.6972199999999731</v>
      </c>
      <c r="AE4" s="12">
        <f>IF([INICIO] &lt; [FIM], [START] + ABS([TGT] - [START]) * 85%, [START] - ABS([TGT] - [START]) * 85%)</f>
        <v>1.5004999999999999</v>
      </c>
    </row>
    <row r="5" spans="1:31">
      <c r="A5" s="21" t="s">
        <v>29</v>
      </c>
      <c r="B5" s="14">
        <v>4800</v>
      </c>
      <c r="C5" s="15">
        <v>26</v>
      </c>
      <c r="D5" s="14">
        <v>4.34</v>
      </c>
      <c r="E5" s="14">
        <v>3.18</v>
      </c>
      <c r="F5" s="16">
        <v>2.5000000000000001E-3</v>
      </c>
      <c r="G5" s="16">
        <v>1.6799999999999999E-2</v>
      </c>
      <c r="H5" s="16">
        <v>1.5E-3</v>
      </c>
      <c r="I5" s="16">
        <v>0.34399999999999997</v>
      </c>
      <c r="J5" s="17">
        <v>0.5</v>
      </c>
      <c r="K5" s="10">
        <f>1</f>
        <v>1</v>
      </c>
      <c r="L5" s="2">
        <f>[PATRIM.] * (1 - [AGE] / 100)</f>
        <v>3552</v>
      </c>
      <c r="M5" s="2">
        <f>IF([BASE RV] &lt; SETUP!$A$2, [BASE RV] * SETUP!$B$2, IF([BASE RV] &lt; SETUP!$A$3, [BASE RV] * SETUP!$B$3, 0))</f>
        <v>71.040000000000006</v>
      </c>
      <c r="N5" s="2">
        <f>IF([INICIO] &lt; [FIM], [FIM] - [INICIO], [INICIO] - [FIM])</f>
        <v>1.1599999999999997</v>
      </c>
      <c r="O5" s="4">
        <f>[FIM] / [INICIO] - 1</f>
        <v>-0.26728110599078336</v>
      </c>
      <c r="P5" s="12">
        <f>ABS([PERNA] * [% IN] + IF([INICIO] &lt; [FIM], - [FIM], + [FIM]))</f>
        <v>3.76</v>
      </c>
      <c r="Q5" s="12">
        <f>TRUNC([RETORNO] * IF([INICIO] &lt; [FIM], (1 - ABS([% PERNA]) * [% START] * 10), (1 + ABS([% PERNA]) * [% START] * 10)), 2)</f>
        <v>3.78</v>
      </c>
      <c r="R5" s="20">
        <f>TRUNC([START] * IF([INICIO] &lt; [FIM], (1 - ABS([% PERNA]) * [% STOP] * 10), (1 + ABS([% PERNA]) * [% STOP] * 10)), 2)</f>
        <v>3.94</v>
      </c>
      <c r="S5" s="20">
        <f>[START] * IF([INICIO] &lt; [FIM], (1 + [% VOL] / 10 * 1.5 * [PER]), (1 - [% VOL] / 10 * 1.5 * [PER]))</f>
        <v>3.5849519999999999</v>
      </c>
      <c r="T5" s="20">
        <f>TRUNC(([STOP] + IF([INICIO] &lt; [FIM], [PERNA], - [PERNA])) * IF([INICIO] &lt; [FIM], (1 - ABS([% PERNA]) * [% TGT] * 10), (1 + ABS([% PERNA]) * [% TGT] * 10)), 2)</f>
        <v>2.79</v>
      </c>
      <c r="U5" s="11">
        <f>ROUNDDOWN([RISCO] / (ABS([START] - [STOP])), 0)</f>
        <v>444</v>
      </c>
      <c r="V5" s="11">
        <f>[QTDE TMP] - MOD([QTDE TMP], 100)</f>
        <v>400</v>
      </c>
      <c r="W5" s="20">
        <f>[QTDE] * [START]</f>
        <v>1512</v>
      </c>
      <c r="X5" s="20">
        <f>ABS([START] - [STOP]) * [QTDE] + 30</f>
        <v>94.000000000000057</v>
      </c>
      <c r="Y5" s="6">
        <f>[QTDE] / 2</f>
        <v>200</v>
      </c>
      <c r="Z5" s="6">
        <f>[QTDE PAR TMP] + MOD([QTDE PAR TMP], 100)</f>
        <v>200</v>
      </c>
      <c r="AA5" s="20">
        <f>ABS([PARCIAL] - [START]) * [QTDE PAR] - 30</f>
        <v>9.0095999999999776</v>
      </c>
      <c r="AB5" s="6">
        <f>[QTDE] - [QTDE PAR]</f>
        <v>200</v>
      </c>
      <c r="AC5" s="20">
        <f>ABS([TGT] - [START]) * [QTDE ALVO] + [LUCRO PAR] - 15</f>
        <v>192.00959999999992</v>
      </c>
      <c r="AD5" s="5">
        <f>[LUCRO ALVO] / [PERDA]</f>
        <v>2.0426553191489343</v>
      </c>
      <c r="AE5" s="12">
        <f>IF([INICIO] &lt; [FIM], [START] + ABS([TGT] - [START]) * 85%, [START] - ABS([TGT] - [START]) * 85%)</f>
        <v>2.9384999999999999</v>
      </c>
    </row>
    <row r="6" spans="1:31">
      <c r="A6" s="41" t="s">
        <v>50</v>
      </c>
      <c r="B6" s="2">
        <v>4800</v>
      </c>
      <c r="C6" s="6">
        <v>26</v>
      </c>
      <c r="D6" s="2">
        <v>7.49</v>
      </c>
      <c r="E6" s="2">
        <v>5.05</v>
      </c>
      <c r="F6" s="4">
        <v>2.5000000000000001E-3</v>
      </c>
      <c r="G6" s="4">
        <v>3.5999999999999999E-3</v>
      </c>
      <c r="H6" s="4">
        <v>1.5E-3</v>
      </c>
      <c r="I6" s="4">
        <v>0.91290000000000004</v>
      </c>
      <c r="J6" s="3">
        <v>0.5</v>
      </c>
      <c r="K6" s="10">
        <f>1</f>
        <v>1</v>
      </c>
      <c r="L6" s="2">
        <f>[PATRIM.] * (1 - [AGE] / 100)</f>
        <v>3552</v>
      </c>
      <c r="M6" s="2">
        <f>IF([BASE RV] &lt; SETUP!$A$2, [BASE RV] * SETUP!$B$2, IF([BASE RV] &lt; SETUP!$A$3, [BASE RV] * SETUP!$B$3, 0))</f>
        <v>71.040000000000006</v>
      </c>
      <c r="N6" s="2">
        <f>IF([INICIO] &lt; [FIM], [FIM] - [INICIO], [INICIO] - [FIM])</f>
        <v>2.4400000000000004</v>
      </c>
      <c r="O6" s="4">
        <f>[FIM] / [INICIO] - 1</f>
        <v>-0.32576769025367158</v>
      </c>
      <c r="P6" s="12">
        <f>ABS([PERNA] * [% IN] + IF([INICIO] &lt; [FIM], - [FIM], + [FIM]))</f>
        <v>6.27</v>
      </c>
      <c r="Q6" s="12">
        <f>TRUNC([RETORNO] * IF([INICIO] &lt; [FIM], (1 - ABS([% PERNA]) * [% START] * 10), (1 + ABS([% PERNA]) * [% START] * 10)), 2)</f>
        <v>6.32</v>
      </c>
      <c r="R6" s="20">
        <f>TRUNC([START] * IF([INICIO] &lt; [FIM], (1 - ABS([% PERNA]) * [% STOP] * 10), (1 + ABS([% PERNA]) * [% STOP] * 10)), 2)</f>
        <v>6.39</v>
      </c>
      <c r="S6" s="20">
        <f>[START] * IF([INICIO] &lt; [FIM], (1 + [% VOL] / 10 * 1.5 * [PER]), (1 - [% VOL] / 10 * 1.5 * [PER]))</f>
        <v>5.4545707999999999</v>
      </c>
      <c r="T6" s="20">
        <f>TRUNC(([STOP] + IF([INICIO] &lt; [FIM], [PERNA], - [PERNA])) * IF([INICIO] &lt; [FIM], (1 - ABS([% PERNA]) * [% TGT] * 10), (1 + ABS([% PERNA]) * [% TGT] * 10)), 2)</f>
        <v>3.96</v>
      </c>
      <c r="U6" s="11">
        <f>ROUNDDOWN([RISCO] / (ABS([START] - [STOP])), 0)</f>
        <v>1014</v>
      </c>
      <c r="V6" s="11">
        <f>[QTDE TMP] - MOD([QTDE TMP], 100)</f>
        <v>1000</v>
      </c>
      <c r="W6" s="20">
        <f>[QTDE] * [START]</f>
        <v>6320</v>
      </c>
      <c r="X6" s="20">
        <f>ABS([START] - [STOP]) * [QTDE] + 30</f>
        <v>99.999999999999403</v>
      </c>
      <c r="Y6" s="6">
        <f>[QTDE] / 2</f>
        <v>500</v>
      </c>
      <c r="Z6" s="6">
        <f>[QTDE PAR TMP] + MOD([QTDE PAR TMP], 100)</f>
        <v>500</v>
      </c>
      <c r="AA6" s="20">
        <f>ABS([PARCIAL] - [START]) * [QTDE PAR] - 30</f>
        <v>402.71460000000019</v>
      </c>
      <c r="AB6" s="6">
        <f>[QTDE] - [QTDE PAR]</f>
        <v>500</v>
      </c>
      <c r="AC6" s="20">
        <f>ABS([TGT] - [START]) * [QTDE ALVO] + [LUCRO PAR] - 15</f>
        <v>1567.7146000000005</v>
      </c>
      <c r="AD6" s="5">
        <f>[LUCRO ALVO] / [PERDA]</f>
        <v>15.677146000000098</v>
      </c>
      <c r="AE6" s="12">
        <f>IF([INICIO] &lt; [FIM], [START] + ABS([TGT] - [START]) * 85%, [START] - ABS([TGT] - [START]) * 85%)</f>
        <v>4.3140000000000001</v>
      </c>
    </row>
    <row r="7" spans="1:31">
      <c r="A7" s="21" t="s">
        <v>51</v>
      </c>
      <c r="B7" s="2">
        <v>4800</v>
      </c>
      <c r="C7" s="26">
        <v>26</v>
      </c>
      <c r="D7" s="24">
        <v>11.03</v>
      </c>
      <c r="E7" s="24">
        <v>7.58</v>
      </c>
      <c r="F7" s="25">
        <v>2.5000000000000001E-3</v>
      </c>
      <c r="G7" s="25">
        <v>4.0000000000000001E-3</v>
      </c>
      <c r="H7" s="25">
        <v>1.5E-3</v>
      </c>
      <c r="I7" s="25">
        <v>0.53029999999999999</v>
      </c>
      <c r="J7" s="27">
        <v>0.33</v>
      </c>
      <c r="K7" s="28">
        <f>1</f>
        <v>1</v>
      </c>
      <c r="L7" s="24">
        <f>[PATRIM.] * (1 - [AGE] / 100)</f>
        <v>3552</v>
      </c>
      <c r="M7" s="24">
        <f>IF([BASE RV] &lt; SETUP!$A$2, [BASE RV] * SETUP!$B$2, IF([BASE RV] &lt; SETUP!$A$3, [BASE RV] * SETUP!$B$3, 0))</f>
        <v>71.040000000000006</v>
      </c>
      <c r="N7" s="24">
        <f>IF([INICIO] &lt; [FIM], [FIM] - [INICIO], [INICIO] - [FIM])</f>
        <v>3.4499999999999993</v>
      </c>
      <c r="O7" s="25">
        <f>[FIM] / [INICIO] - 1</f>
        <v>-0.31278331822302807</v>
      </c>
      <c r="P7" s="29">
        <f>ABS([PERNA] * [% IN] + IF([INICIO] &lt; [FIM], - [FIM], + [FIM]))</f>
        <v>8.7185000000000006</v>
      </c>
      <c r="Q7" s="29">
        <f>TRUNC([RETORNO] * IF([INICIO] &lt; [FIM], (1 - ABS([% PERNA]) * [% START] * 10), (1 + ABS([% PERNA]) * [% START] * 10)), 2)</f>
        <v>8.7799999999999994</v>
      </c>
      <c r="R7" s="30">
        <f>TRUNC([START] * IF([INICIO] &lt; [FIM], (1 - ABS([% PERNA]) * [% STOP] * 10), (1 + ABS([% PERNA]) * [% STOP] * 10)), 2)</f>
        <v>8.8800000000000008</v>
      </c>
      <c r="S7" s="30">
        <f>[START] * IF([INICIO] &lt; [FIM], (1 + [% VOL] / 10 * 1.5 * [PER]), (1 - [% VOL] / 10 * 1.5 * [PER]))</f>
        <v>8.0815948999999989</v>
      </c>
      <c r="T7" s="30">
        <f>TRUNC(([STOP] + IF([INICIO] &lt; [FIM], [PERNA], - [PERNA])) * IF([INICIO] &lt; [FIM], (1 - ABS([% PERNA]) * [% TGT] * 10), (1 + ABS([% PERNA]) * [% TGT] * 10)), 2)</f>
        <v>5.45</v>
      </c>
      <c r="U7" s="31">
        <f>ROUNDDOWN([RISCO] / (ABS([START] - [STOP])), 0)</f>
        <v>710</v>
      </c>
      <c r="V7" s="31">
        <f>[QTDE TMP] - MOD([QTDE TMP], 100)</f>
        <v>700</v>
      </c>
      <c r="W7" s="30">
        <f>[QTDE] * [START]</f>
        <v>6146</v>
      </c>
      <c r="X7" s="30">
        <f>ABS([START] - [STOP]) * [QTDE] + 30</f>
        <v>100.00000000000099</v>
      </c>
      <c r="Y7" s="26">
        <f>[QTDE] / 2</f>
        <v>350</v>
      </c>
      <c r="Z7" s="26">
        <f>[QTDE PAR TMP] + MOD([QTDE PAR TMP], 100)</f>
        <v>400</v>
      </c>
      <c r="AA7" s="30">
        <f>ABS([PARCIAL] - [START]) * [QTDE PAR] - 30</f>
        <v>249.36204000000021</v>
      </c>
      <c r="AB7" s="26">
        <f>[QTDE] - [QTDE PAR]</f>
        <v>300</v>
      </c>
      <c r="AC7" s="30">
        <f>ABS([TGT] - [START]) * [QTDE ALVO] + [LUCRO PAR] - 15</f>
        <v>1233.36204</v>
      </c>
      <c r="AD7" s="32">
        <f>[LUCRO ALVO] / [PERDA]</f>
        <v>12.333620399999877</v>
      </c>
      <c r="AE7" s="29">
        <f>IF([INICIO] &lt; [FIM], [START] + ABS([TGT] - [START]) * 85%, [START] - ABS([TGT] - [START]) * 85%)</f>
        <v>5.9495000000000005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C3"/>
  <sheetViews>
    <sheetView workbookViewId="0">
      <selection activeCell="E4" sqref="E4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7.710937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>
      <c r="A1" s="18" t="s">
        <v>27</v>
      </c>
      <c r="B1" s="1" t="s">
        <v>33</v>
      </c>
      <c r="C1" s="1" t="s">
        <v>34</v>
      </c>
      <c r="D1" s="1" t="s">
        <v>0</v>
      </c>
      <c r="E1" s="1" t="s">
        <v>36</v>
      </c>
      <c r="F1" s="1" t="s">
        <v>1</v>
      </c>
      <c r="G1" s="1" t="s">
        <v>38</v>
      </c>
      <c r="H1" s="1" t="s">
        <v>37</v>
      </c>
      <c r="I1" s="4" t="s">
        <v>35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>
      <c r="A2" s="2" t="s">
        <v>31</v>
      </c>
      <c r="B2" s="2">
        <v>5173.08</v>
      </c>
      <c r="C2" s="6">
        <v>26</v>
      </c>
      <c r="D2" s="2">
        <v>8.6999999999999993</v>
      </c>
      <c r="E2" s="2">
        <v>5.07</v>
      </c>
      <c r="F2" s="2">
        <v>6.24</v>
      </c>
      <c r="G2" s="2">
        <v>5.09</v>
      </c>
      <c r="H2" s="2">
        <v>4.87</v>
      </c>
      <c r="I2" s="4">
        <v>0.97489999999999999</v>
      </c>
      <c r="J2" s="10">
        <f>1</f>
        <v>1</v>
      </c>
      <c r="K2" s="2">
        <f>[PATRIM.] * (1 - [AGE] / 100)</f>
        <v>3828.0791999999997</v>
      </c>
      <c r="L2" s="2">
        <f>IF([BASE RV] &lt; SETUP!$A$2, [BASE RV] * SETUP!$B$2, IF([BASE RV] &lt; SETUP!$A$3, [BASE RV] * SETUP!$B$3, 0))</f>
        <v>76.561583999999996</v>
      </c>
      <c r="M2" s="2">
        <f>IF([INICIO] &lt; [MEIO], [MEIO] - [INICIO], [INICIO] - [MEIO])</f>
        <v>3.629999999999999</v>
      </c>
      <c r="N2" s="4">
        <f>[MEIO] / [INICIO] - 1</f>
        <v>-0.41724137931034477</v>
      </c>
      <c r="O2" s="2">
        <f>IF([INICIO] &lt; [MEIO], [CDL H] + 0.02, [CDL L] - 0.02)</f>
        <v>4.8500000000000005</v>
      </c>
      <c r="P2" s="2">
        <f>IF([INICIO] &lt; [MEIO], [CDL L] - 0.02, [CDL H] + 0.02)</f>
        <v>5.1099999999999994</v>
      </c>
      <c r="Q2" s="2">
        <f>[START] * IF([INICIO] &lt; [MEIO], (1 + [% VOL] / 10 * 1.5 * [PER]), (1 - [% VOL] / 10 * 1.5 * [PER]))</f>
        <v>4.1407602500000005</v>
      </c>
      <c r="R2" s="2">
        <f>IF([INICIO] &lt; [MEIO],  [FIM] + ([MEIO] - [INICIO]), [FIM] - ([INICIO] - [MEIO]))</f>
        <v>2.6100000000000012</v>
      </c>
      <c r="S2" s="6">
        <f>ROUNDDOWN([RISCO] / (ABS([CDL H] - [CDL L])), 0)</f>
        <v>348</v>
      </c>
      <c r="T2" s="6">
        <f>[QTDE TMP] - MOD([QTDE TMP], 100)</f>
        <v>300</v>
      </c>
      <c r="U2" s="12">
        <f>[QTDE] * [START]</f>
        <v>1455.0000000000002</v>
      </c>
      <c r="V2" s="12">
        <f>ABS([START] - [STOP]) * [QTDE]</f>
        <v>77.999999999999673</v>
      </c>
      <c r="W2" s="6">
        <f>[QTDE] / 2</f>
        <v>150</v>
      </c>
      <c r="X2" s="6">
        <f>[QTDE PAR TMP] + MOD([QTDE PAR TMP], 100)</f>
        <v>200</v>
      </c>
      <c r="Y2" s="12">
        <f>ABS([PARCIAL] - [START]) * [QTDE PAR]</f>
        <v>141.84795000000003</v>
      </c>
      <c r="Z2" s="6">
        <f>[QTDE] - [QTDE PAR]</f>
        <v>100</v>
      </c>
      <c r="AA2" s="12">
        <f>ABS([TGT] - [START]) * [QTDE ALVO] + [LUCRO PAR]</f>
        <v>365.84794999999997</v>
      </c>
      <c r="AB2" s="5">
        <f>[LUCRO ALVO] / [PERDA]</f>
        <v>4.6903583333333527</v>
      </c>
      <c r="AC2" s="2">
        <f>IF([INICIO] &lt; [MEIO], [START] + ABS([TGT] - [START]) * 85%, [START] - ABS([TGT] - [START]) * 85%)</f>
        <v>2.9460000000000011</v>
      </c>
    </row>
    <row r="3" spans="1:29">
      <c r="A3" s="2" t="s">
        <v>39</v>
      </c>
      <c r="B3" s="2">
        <v>5173.08</v>
      </c>
      <c r="C3" s="6">
        <v>26</v>
      </c>
      <c r="D3" s="2">
        <v>29.37</v>
      </c>
      <c r="E3" s="2">
        <v>22.56</v>
      </c>
      <c r="F3" s="2">
        <v>22.56</v>
      </c>
      <c r="G3" s="2">
        <v>19.53</v>
      </c>
      <c r="H3" s="2">
        <v>19.28</v>
      </c>
      <c r="I3" s="4">
        <v>0.42199999999999999</v>
      </c>
      <c r="J3" s="10">
        <f>1</f>
        <v>1</v>
      </c>
      <c r="K3" s="2">
        <f>[PATRIM.] * (1 - [AGE] / 100)</f>
        <v>3828.0791999999997</v>
      </c>
      <c r="L3" s="2">
        <f>IF([BASE RV] &lt; SETUP!$A$2, [BASE RV] * SETUP!$B$2, IF([BASE RV] &lt; SETUP!$A$3, [BASE RV] * SETUP!$B$3, 0))</f>
        <v>76.561583999999996</v>
      </c>
      <c r="M3" s="2">
        <f>IF([INICIO] &lt; [MEIO], [MEIO] - [INICIO], [INICIO] - [MEIO])</f>
        <v>6.8100000000000023</v>
      </c>
      <c r="N3" s="4">
        <f>[MEIO] / [INICIO] - 1</f>
        <v>-0.23186925434116457</v>
      </c>
      <c r="O3" s="2">
        <f>IF([INICIO] &lt; [MEIO], [CDL H] + 0.02, [CDL L] - 0.02)</f>
        <v>19.260000000000002</v>
      </c>
      <c r="P3" s="2">
        <f>IF([INICIO] &lt; [MEIO], [CDL L] - 0.02, [CDL H] + 0.02)</f>
        <v>19.55</v>
      </c>
      <c r="Q3" s="2">
        <f>[START] * IF([INICIO] &lt; [MEIO], (1 + [% VOL] / 10 * 1.5 * [PER]), (1 - [% VOL] / 10 * 1.5 * [PER]))</f>
        <v>18.040842000000001</v>
      </c>
      <c r="R3" s="2">
        <f>IF([INICIO] &lt; [MEIO],  [FIM] + ([MEIO] - [INICIO]), [FIM] - ([INICIO] - [MEIO]))</f>
        <v>15.749999999999996</v>
      </c>
      <c r="S3" s="6">
        <f>ROUNDDOWN([RISCO] / (ABS([CDL H] - [CDL L])), 0)</f>
        <v>306</v>
      </c>
      <c r="T3" s="6">
        <f>[QTDE TMP] - MOD([QTDE TMP], 100)</f>
        <v>300</v>
      </c>
      <c r="U3" s="12">
        <f>[QTDE] * [START]</f>
        <v>5778.0000000000009</v>
      </c>
      <c r="V3" s="12">
        <f>ABS([START] - [STOP]) * [QTDE]</f>
        <v>86.999999999999744</v>
      </c>
      <c r="W3" s="6">
        <f>[QTDE] / 2</f>
        <v>150</v>
      </c>
      <c r="X3" s="6">
        <f>[QTDE PAR TMP] + MOD([QTDE PAR TMP], 100)</f>
        <v>200</v>
      </c>
      <c r="Y3" s="12">
        <f>ABS([PARCIAL] - [START]) * [QTDE PAR]</f>
        <v>243.83160000000004</v>
      </c>
      <c r="Z3" s="6">
        <f>[QTDE] - [QTDE PAR]</f>
        <v>100</v>
      </c>
      <c r="AA3" s="12">
        <f>ABS([TGT] - [START]) * [QTDE ALVO] + [LUCRO PAR]</f>
        <v>594.83160000000055</v>
      </c>
      <c r="AB3" s="5">
        <f>[LUCRO ALVO] / [PERDA]</f>
        <v>6.8371448275862337</v>
      </c>
      <c r="AC3" s="13">
        <f>IF([INICIO] &lt; [MEIO], [START] + ABS([TGT] - [START]) * 85%, [START] - ABS([TGT] - [START]) * 85%)</f>
        <v>16.276499999999999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7" sqref="D7"/>
    </sheetView>
  </sheetViews>
  <sheetFormatPr defaultRowHeight="11.25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16384" width="9.140625" style="1"/>
  </cols>
  <sheetData>
    <row r="1" spans="1:3">
      <c r="A1" s="7" t="s">
        <v>5</v>
      </c>
      <c r="B1" s="8" t="s">
        <v>6</v>
      </c>
    </row>
    <row r="2" spans="1:3">
      <c r="A2" s="2">
        <v>10000</v>
      </c>
      <c r="B2" s="4">
        <v>0.02</v>
      </c>
      <c r="C2" s="2">
        <f>A2*B2</f>
        <v>200</v>
      </c>
    </row>
    <row r="3" spans="1:3">
      <c r="A3" s="2">
        <v>20000</v>
      </c>
      <c r="B3" s="4">
        <v>1.4999999999999999E-2</v>
      </c>
      <c r="C3" s="2">
        <f t="shared" ref="C3:C7" si="0">A3*B3</f>
        <v>300</v>
      </c>
    </row>
    <row r="4" spans="1:3">
      <c r="A4" s="2">
        <v>50000</v>
      </c>
      <c r="B4" s="4">
        <v>0.01</v>
      </c>
      <c r="C4" s="2">
        <f t="shared" si="0"/>
        <v>500</v>
      </c>
    </row>
    <row r="5" spans="1:3">
      <c r="A5" s="2">
        <v>100000</v>
      </c>
      <c r="B5" s="4">
        <v>7.4999999999999997E-3</v>
      </c>
      <c r="C5" s="2">
        <f t="shared" si="0"/>
        <v>750</v>
      </c>
    </row>
    <row r="6" spans="1:3">
      <c r="A6" s="2">
        <v>500000</v>
      </c>
      <c r="B6" s="4">
        <v>5.0000000000000001E-3</v>
      </c>
      <c r="C6" s="2">
        <f t="shared" si="0"/>
        <v>2500</v>
      </c>
    </row>
    <row r="7" spans="1:3">
      <c r="A7" s="2">
        <v>1000000</v>
      </c>
      <c r="B7" s="4">
        <v>2.5000000000000001E-3</v>
      </c>
      <c r="C7" s="2">
        <f t="shared" si="0"/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>
      <c r="A1" s="1" t="s">
        <v>27</v>
      </c>
      <c r="B1" s="1" t="s">
        <v>0</v>
      </c>
      <c r="C1" s="1" t="s">
        <v>1</v>
      </c>
      <c r="D1" s="1" t="s">
        <v>41</v>
      </c>
      <c r="E1" s="1" t="s">
        <v>2</v>
      </c>
      <c r="F1" s="22" t="s">
        <v>43</v>
      </c>
      <c r="G1" s="22" t="s">
        <v>44</v>
      </c>
      <c r="H1" s="22" t="s">
        <v>45</v>
      </c>
      <c r="I1" s="22" t="s">
        <v>46</v>
      </c>
      <c r="J1" s="22" t="s">
        <v>48</v>
      </c>
      <c r="K1" s="22" t="s">
        <v>47</v>
      </c>
      <c r="L1" s="22" t="s">
        <v>3</v>
      </c>
      <c r="M1" s="1" t="s">
        <v>42</v>
      </c>
      <c r="N1" s="1" t="s">
        <v>49</v>
      </c>
    </row>
    <row r="2" spans="1:14">
      <c r="A2" s="1" t="s">
        <v>40</v>
      </c>
      <c r="B2" s="2">
        <v>2.74</v>
      </c>
      <c r="C2" s="2">
        <v>2.2799999999999998</v>
      </c>
      <c r="D2" s="2">
        <v>2.54</v>
      </c>
      <c r="E2" s="2">
        <f>[INICIO]-[FIM]</f>
        <v>0.46000000000000041</v>
      </c>
      <c r="F2" s="2">
        <f>ROUND([PERNA] * 33%, 2) + [FIM]</f>
        <v>2.4299999999999997</v>
      </c>
      <c r="G2" s="2">
        <f>ROUND([PERNA] * 50%, 2) + [FIM]</f>
        <v>2.5099999999999998</v>
      </c>
      <c r="H2" s="2">
        <f>ROUND([PERNA] * 60%, 2) + [FIM]</f>
        <v>2.5599999999999996</v>
      </c>
      <c r="I2" s="4">
        <f>[INFLEXAO MAX]/[33%] - 1</f>
        <v>4.5267489711934283E-2</v>
      </c>
      <c r="J2" s="4">
        <f>[INFLEXAO MAX]/[50%] - 1</f>
        <v>1.195219123505975E-2</v>
      </c>
      <c r="K2" s="4">
        <f>[INFLEXAO MAX]/[60%] - 1</f>
        <v>-7.812499999999889E-3</v>
      </c>
      <c r="L2" s="4">
        <f>1 - [FIM]/[INICIO]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[% INFLEXÃO] / [% PERNA]</f>
        <v>7.1193486921877595E-3</v>
      </c>
    </row>
    <row r="3" spans="1:14">
      <c r="A3" s="1" t="s">
        <v>40</v>
      </c>
      <c r="B3" s="2">
        <v>3.23</v>
      </c>
      <c r="C3" s="2">
        <v>2.42</v>
      </c>
      <c r="D3" s="2">
        <v>2.74</v>
      </c>
      <c r="E3" s="2">
        <f>[INICIO]-[FIM]</f>
        <v>0.81</v>
      </c>
      <c r="F3" s="2">
        <f>ROUND([PERNA] * 33%, 2) + [FIM]</f>
        <v>2.69</v>
      </c>
      <c r="G3" s="2">
        <f>ROUND([PERNA] * 50%, 2) + [FIM]</f>
        <v>2.83</v>
      </c>
      <c r="H3" s="2">
        <f>ROUND([PERNA] * 60%, 2) + [FIM]</f>
        <v>2.91</v>
      </c>
      <c r="I3" s="4">
        <f>[INFLEXAO MAX]/[33%] - 1</f>
        <v>1.858736059479571E-2</v>
      </c>
      <c r="J3" s="4">
        <f>[INFLEXAO MAX]/[50%] - 1</f>
        <v>-3.180212014134276E-2</v>
      </c>
      <c r="K3" s="4">
        <f>[INFLEXAO MAX]/[60%] - 1</f>
        <v>-5.841924398625431E-2</v>
      </c>
      <c r="L3" s="4">
        <f>1 - [FIM]/[INICIO]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[% INFLEXÃO] / [% PERNA]</f>
        <v>7.4119968791592772E-3</v>
      </c>
    </row>
    <row r="4" spans="1:14">
      <c r="A4" s="1" t="s">
        <v>29</v>
      </c>
      <c r="B4" s="2">
        <v>5.47</v>
      </c>
      <c r="C4" s="2">
        <v>3.39</v>
      </c>
      <c r="D4" s="2">
        <v>4.34</v>
      </c>
      <c r="E4" s="2">
        <f>[INICIO]-[FIM]</f>
        <v>2.0799999999999996</v>
      </c>
      <c r="F4" s="2">
        <f>ROUND([PERNA] * 33%, 2) + [FIM]</f>
        <v>4.08</v>
      </c>
      <c r="G4" s="2">
        <f>ROUND([PERNA] * 50%, 2) + [FIM]</f>
        <v>4.43</v>
      </c>
      <c r="H4" s="2">
        <f>ROUND([PERNA] * 60%, 2) + [FIM]</f>
        <v>4.6400000000000006</v>
      </c>
      <c r="I4" s="4">
        <f>[INFLEXAO MAX]/[33%] - 1</f>
        <v>6.3725490196078427E-2</v>
      </c>
      <c r="J4" s="4">
        <f>[INFLEXAO MAX]/[50%] - 1</f>
        <v>-2.0316027088036037E-2</v>
      </c>
      <c r="K4" s="4">
        <f>[INFLEXAO MAX]/[60%] - 1</f>
        <v>-6.465517241379326E-2</v>
      </c>
      <c r="L4" s="4">
        <f>1 - [FIM]/[INICIO]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[% INFLEXÃO] / [% PERNA]</f>
        <v>1.6758578431372548E-2</v>
      </c>
    </row>
    <row r="5" spans="1:14">
      <c r="A5" s="1" t="s">
        <v>31</v>
      </c>
      <c r="B5" s="2">
        <v>8.6999999999999993</v>
      </c>
      <c r="C5" s="2">
        <v>5.07</v>
      </c>
      <c r="D5" s="2"/>
      <c r="E5" s="2">
        <f>[INICIO]-[FIM]</f>
        <v>3.629999999999999</v>
      </c>
      <c r="F5" s="2">
        <f>ROUND([PERNA] * 33%, 2) + [FIM]</f>
        <v>6.2700000000000005</v>
      </c>
      <c r="G5" s="2">
        <f>ROUND([PERNA] * 50%, 2) + [FIM]</f>
        <v>6.8900000000000006</v>
      </c>
      <c r="H5" s="2">
        <f>ROUND([PERNA] * 60%, 2) + [FIM]</f>
        <v>7.25</v>
      </c>
      <c r="I5" s="4">
        <f>[INFLEXAO MAX]/[33%] - 1</f>
        <v>-1</v>
      </c>
      <c r="J5" s="4">
        <f>[INFLEXAO MAX]/[50%] - 1</f>
        <v>-1</v>
      </c>
      <c r="K5" s="4">
        <f>[INFLEXAO MAX]/[60%] - 1</f>
        <v>-1</v>
      </c>
      <c r="L5" s="4">
        <f>1 - [FIM]/[INICIO]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[% INFLEXÃO] / [% PERNA]</f>
        <v>0</v>
      </c>
    </row>
    <row r="6" spans="1:14">
      <c r="A6" s="23" t="s">
        <v>50</v>
      </c>
      <c r="B6" s="24">
        <v>8.52</v>
      </c>
      <c r="C6" s="24">
        <v>6.31</v>
      </c>
      <c r="D6" s="24">
        <v>7.49</v>
      </c>
      <c r="E6" s="24">
        <f>[INICIO]-[FIM]</f>
        <v>2.21</v>
      </c>
      <c r="F6" s="24">
        <f>ROUND([PERNA] * 33%, 2) + [FIM]</f>
        <v>7.0399999999999991</v>
      </c>
      <c r="G6" s="24">
        <f>ROUND([PERNA] * 50%, 2) + [FIM]</f>
        <v>7.42</v>
      </c>
      <c r="H6" s="24">
        <f>ROUND([PERNA] * 60%, 2) + [FIM]</f>
        <v>7.64</v>
      </c>
      <c r="I6" s="25">
        <f>[INFLEXAO MAX]/[33%] - 1</f>
        <v>6.3920454545454808E-2</v>
      </c>
      <c r="J6" s="25">
        <f>[INFLEXAO MAX]/[50%] - 1</f>
        <v>9.4339622641510523E-3</v>
      </c>
      <c r="K6" s="25">
        <f>[INFLEXAO MAX]/[60%] - 1</f>
        <v>-1.963350785340312E-2</v>
      </c>
      <c r="L6" s="25">
        <f>1 - [FIM]/[INICIO]</f>
        <v>0.25938967136150237</v>
      </c>
      <c r="M6" s="25">
        <f t="array" ref="M6">MIN(IF(Tabela3[[#This Row],[DIF 33%]:[DIF 60%]] &gt; 0, Tabela3[[#This Row],[DIF 33%]:[DIF 60%]]))</f>
        <v>9.4339622641510523E-3</v>
      </c>
      <c r="N6" s="25">
        <f>10% * [% INFLEXÃO] / 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Engelbert</cp:lastModifiedBy>
  <dcterms:created xsi:type="dcterms:W3CDTF">2012-05-28T11:56:59Z</dcterms:created>
  <dcterms:modified xsi:type="dcterms:W3CDTF">2012-06-14T20:09:13Z</dcterms:modified>
</cp:coreProperties>
</file>