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45621"/>
</workbook>
</file>

<file path=xl/calcChain.xml><?xml version="1.0" encoding="utf-8"?>
<calcChain xmlns="http://schemas.openxmlformats.org/spreadsheetml/2006/main">
  <c r="K4" i="9" l="1"/>
  <c r="L4" i="9" s="1"/>
  <c r="K5" i="9"/>
  <c r="L5" i="9" s="1"/>
  <c r="N4" i="9"/>
  <c r="N5" i="9"/>
  <c r="AC4" i="9"/>
  <c r="AC5" i="9"/>
  <c r="AD4" i="9"/>
  <c r="AD5" i="9"/>
  <c r="AF4" i="9"/>
  <c r="AI4" i="9"/>
  <c r="AJ4" i="9"/>
  <c r="AK4" i="9"/>
  <c r="S5" i="9" l="1"/>
  <c r="T5" i="9" s="1"/>
  <c r="S4" i="9"/>
  <c r="T4" i="9" s="1"/>
  <c r="A6" i="9"/>
  <c r="AK3" i="9"/>
  <c r="AJ3" i="9"/>
  <c r="AI3" i="9"/>
  <c r="AD3" i="9"/>
  <c r="M4" i="9" s="1"/>
  <c r="N3" i="9"/>
  <c r="AC3" i="9" s="1"/>
  <c r="K3" i="9"/>
  <c r="L3" i="9" s="1"/>
  <c r="AK2" i="9"/>
  <c r="AJ2" i="9"/>
  <c r="AI2" i="9"/>
  <c r="AF2" i="9"/>
  <c r="AD2" i="9"/>
  <c r="AC2" i="9"/>
  <c r="N2" i="9"/>
  <c r="S2" i="9" s="1"/>
  <c r="T2" i="9" s="1"/>
  <c r="K2" i="9"/>
  <c r="L2" i="9" s="1"/>
  <c r="M5" i="9" l="1"/>
  <c r="R4" i="9"/>
  <c r="P5" i="9"/>
  <c r="O4" i="9"/>
  <c r="Q4" i="9"/>
  <c r="O5" i="9"/>
  <c r="R5" i="9"/>
  <c r="P4" i="9"/>
  <c r="Q5" i="9"/>
  <c r="S3" i="9"/>
  <c r="T3" i="9" s="1"/>
  <c r="U5" i="9" s="1"/>
  <c r="R3" i="9"/>
  <c r="Q3" i="9"/>
  <c r="P3" i="9"/>
  <c r="O3" i="9"/>
  <c r="R2" i="9"/>
  <c r="Q2" i="9"/>
  <c r="P2" i="9"/>
  <c r="O2" i="9"/>
  <c r="M3" i="9"/>
  <c r="M2" i="9"/>
  <c r="AC6" i="9"/>
  <c r="U2" i="9" l="1"/>
  <c r="W2" i="9" s="1"/>
  <c r="U4" i="9"/>
  <c r="U3" i="9"/>
  <c r="V3" i="9" s="1"/>
  <c r="V5" i="9"/>
  <c r="W5" i="9"/>
  <c r="X5" i="9" s="1"/>
  <c r="V2" i="9"/>
  <c r="W3" i="9"/>
  <c r="W4" i="9" l="1"/>
  <c r="V4" i="9"/>
  <c r="X4" i="9" s="1"/>
  <c r="Y4" i="9" s="1"/>
  <c r="Y5" i="9"/>
  <c r="X3" i="9"/>
  <c r="Y3" i="9" s="1"/>
  <c r="X2" i="9"/>
  <c r="Y2" i="9" s="1"/>
  <c r="Z4" i="9" l="1"/>
  <c r="AK5" i="9"/>
  <c r="Z5" i="9"/>
  <c r="Z2" i="9"/>
  <c r="Z3" i="9"/>
  <c r="AA4" i="9" l="1"/>
  <c r="AB4" i="9" s="1"/>
  <c r="AA5" i="9"/>
  <c r="AB5" i="9" s="1"/>
  <c r="AF5" i="9" s="1"/>
  <c r="AA3" i="9"/>
  <c r="AB3" i="9" s="1"/>
  <c r="AF3" i="9" s="1"/>
  <c r="AA2" i="9"/>
  <c r="AB2" i="9" l="1"/>
  <c r="AE4" i="9"/>
  <c r="AG4" i="9" s="1"/>
  <c r="AH4" i="9" s="1"/>
  <c r="AE5" i="9"/>
  <c r="AG5" i="9" s="1"/>
  <c r="AE2" i="9"/>
  <c r="AG2" i="9" s="1"/>
  <c r="AH2" i="9" s="1"/>
  <c r="AE3" i="9"/>
  <c r="AG3" i="9" s="1"/>
  <c r="AH5" i="9" l="1"/>
  <c r="AH3" i="9"/>
  <c r="AH6" i="9" s="1"/>
  <c r="AI5" i="9" l="1"/>
  <c r="AJ5" i="9"/>
  <c r="K91" i="1"/>
  <c r="L91" i="1" s="1"/>
  <c r="N91" i="1"/>
  <c r="AB91" i="1" s="1"/>
  <c r="S91" i="1"/>
  <c r="AC91" i="1"/>
  <c r="AH91" i="1"/>
  <c r="AI91" i="1"/>
  <c r="AJ91" i="1"/>
  <c r="K90" i="1"/>
  <c r="L90" i="1"/>
  <c r="N90" i="1"/>
  <c r="S90" i="1"/>
  <c r="AB90" i="1"/>
  <c r="AC90" i="1"/>
  <c r="K87" i="1"/>
  <c r="L87" i="1" s="1"/>
  <c r="N87" i="1"/>
  <c r="S87" i="1"/>
  <c r="AB87" i="1"/>
  <c r="AC87" i="1"/>
  <c r="AE87" i="1"/>
  <c r="AH87" i="1"/>
  <c r="AI87" i="1"/>
  <c r="AJ87" i="1"/>
  <c r="K89" i="1"/>
  <c r="L89" i="1"/>
  <c r="N89" i="1"/>
  <c r="AB89" i="1" s="1"/>
  <c r="S89" i="1"/>
  <c r="AC89" i="1"/>
  <c r="K88" i="1"/>
  <c r="L88" i="1" s="1"/>
  <c r="N88" i="1"/>
  <c r="S88" i="1"/>
  <c r="AB88" i="1"/>
  <c r="AC88" i="1"/>
  <c r="K86" i="1"/>
  <c r="L86" i="1"/>
  <c r="N86" i="1"/>
  <c r="S86" i="1"/>
  <c r="AB86" i="1"/>
  <c r="AC86" i="1"/>
  <c r="AE86" i="1"/>
  <c r="AH86" i="1"/>
  <c r="AI86" i="1"/>
  <c r="AJ86" i="1"/>
  <c r="K85" i="1"/>
  <c r="L85" i="1" s="1"/>
  <c r="N85" i="1"/>
  <c r="S85" i="1"/>
  <c r="AB85" i="1"/>
  <c r="AC85" i="1"/>
  <c r="AH85" i="1"/>
  <c r="AI85" i="1"/>
  <c r="AJ85" i="1"/>
  <c r="K84" i="1"/>
  <c r="L84" i="1" s="1"/>
  <c r="N84" i="1"/>
  <c r="S84" i="1"/>
  <c r="AB84" i="1"/>
  <c r="AC84" i="1"/>
  <c r="AE84" i="1"/>
  <c r="AH84" i="1"/>
  <c r="AI84" i="1"/>
  <c r="AJ84" i="1"/>
  <c r="K82" i="1"/>
  <c r="L82" i="1"/>
  <c r="N82" i="1"/>
  <c r="S82" i="1"/>
  <c r="AB82" i="1"/>
  <c r="AC82" i="1"/>
  <c r="AE82" i="1"/>
  <c r="AH82" i="1"/>
  <c r="AI82" i="1"/>
  <c r="AJ82" i="1"/>
  <c r="K83" i="1"/>
  <c r="L83" i="1" s="1"/>
  <c r="N83" i="1"/>
  <c r="AB83" i="1" s="1"/>
  <c r="S83" i="1"/>
  <c r="AC83" i="1"/>
  <c r="AH83" i="1"/>
  <c r="AI83" i="1"/>
  <c r="AJ83" i="1"/>
  <c r="K81" i="1"/>
  <c r="L81" i="1"/>
  <c r="N81" i="1"/>
  <c r="AB81" i="1" s="1"/>
  <c r="S81" i="1"/>
  <c r="AC81" i="1"/>
  <c r="K80" i="1"/>
  <c r="L80" i="1" s="1"/>
  <c r="N80" i="1"/>
  <c r="S80" i="1"/>
  <c r="AB80" i="1"/>
  <c r="AC80" i="1"/>
  <c r="AE80" i="1"/>
  <c r="AH80" i="1"/>
  <c r="AI80" i="1"/>
  <c r="AJ80" i="1"/>
  <c r="K78" i="1"/>
  <c r="L78" i="1"/>
  <c r="N78" i="1"/>
  <c r="S78" i="1"/>
  <c r="AB78" i="1"/>
  <c r="AC78" i="1"/>
  <c r="AE78" i="1"/>
  <c r="AH78" i="1"/>
  <c r="AI78" i="1"/>
  <c r="AJ78" i="1"/>
  <c r="K79" i="1"/>
  <c r="L79" i="1" s="1"/>
  <c r="N79" i="1"/>
  <c r="S79" i="1"/>
  <c r="AB79" i="1"/>
  <c r="AC79" i="1"/>
  <c r="K75" i="1" l="1"/>
  <c r="L75" i="1" s="1"/>
  <c r="N75" i="1"/>
  <c r="S75" i="1"/>
  <c r="AB75" i="1"/>
  <c r="AC75" i="1"/>
  <c r="AE75" i="1"/>
  <c r="AH75" i="1"/>
  <c r="AI75" i="1"/>
  <c r="AJ75" i="1"/>
  <c r="K76" i="1"/>
  <c r="L76" i="1"/>
  <c r="N76" i="1"/>
  <c r="S76" i="1"/>
  <c r="AB76" i="1"/>
  <c r="AC76" i="1"/>
  <c r="AH76" i="1"/>
  <c r="AI76" i="1"/>
  <c r="AJ76" i="1"/>
  <c r="K77" i="1"/>
  <c r="L77" i="1" s="1"/>
  <c r="N77" i="1"/>
  <c r="S77" i="1"/>
  <c r="AB77" i="1"/>
  <c r="AC77" i="1"/>
  <c r="K74" i="1"/>
  <c r="L74" i="1"/>
  <c r="N74" i="1"/>
  <c r="S74" i="1"/>
  <c r="AB74" i="1"/>
  <c r="AC74" i="1"/>
  <c r="AE74" i="1"/>
  <c r="K72" i="1"/>
  <c r="L72" i="1" s="1"/>
  <c r="N72" i="1"/>
  <c r="S72" i="1"/>
  <c r="AB72" i="1"/>
  <c r="AC72" i="1"/>
  <c r="AE72" i="1"/>
  <c r="AH72" i="1"/>
  <c r="AI72" i="1"/>
  <c r="AJ72" i="1"/>
  <c r="K73" i="1"/>
  <c r="L73" i="1"/>
  <c r="N73" i="1"/>
  <c r="AB73" i="1" s="1"/>
  <c r="S73" i="1"/>
  <c r="AC73" i="1"/>
  <c r="I4" i="4" l="1"/>
  <c r="J4" i="4"/>
  <c r="K4" i="4"/>
  <c r="L4" i="4"/>
  <c r="H4" i="4" s="1"/>
  <c r="O4" i="4"/>
  <c r="K71" i="1"/>
  <c r="L71" i="1" s="1"/>
  <c r="N71" i="1"/>
  <c r="AB71" i="1" s="1"/>
  <c r="S71" i="1"/>
  <c r="AC71" i="1"/>
  <c r="K70" i="1"/>
  <c r="L70" i="1"/>
  <c r="N70" i="1"/>
  <c r="S70" i="1"/>
  <c r="AB70" i="1"/>
  <c r="AC70" i="1"/>
  <c r="N4" i="4" l="1"/>
  <c r="M4" i="4"/>
  <c r="K67" i="1"/>
  <c r="L67" i="1"/>
  <c r="N67" i="1"/>
  <c r="S67" i="1"/>
  <c r="AB67" i="1"/>
  <c r="AC67" i="1"/>
  <c r="K66" i="1"/>
  <c r="L66" i="1" s="1"/>
  <c r="N66" i="1"/>
  <c r="AB66" i="1" s="1"/>
  <c r="S66" i="1"/>
  <c r="AC66" i="1"/>
  <c r="K65" i="1"/>
  <c r="L65" i="1"/>
  <c r="N65" i="1"/>
  <c r="S65" i="1"/>
  <c r="AB65" i="1"/>
  <c r="AC65" i="1"/>
  <c r="K69" i="1"/>
  <c r="L69" i="1" s="1"/>
  <c r="N69" i="1"/>
  <c r="S69" i="1"/>
  <c r="AB69" i="1"/>
  <c r="AC69" i="1"/>
  <c r="P4" i="4" l="1"/>
  <c r="K68" i="1"/>
  <c r="L68" i="1"/>
  <c r="N68" i="1"/>
  <c r="AB68" i="1" s="1"/>
  <c r="S68" i="1"/>
  <c r="AC68" i="1"/>
  <c r="K64" i="1"/>
  <c r="L64" i="1" s="1"/>
  <c r="N64" i="1"/>
  <c r="S64" i="1"/>
  <c r="AB64" i="1"/>
  <c r="AC64" i="1"/>
  <c r="K2" i="3"/>
  <c r="K3" i="3"/>
  <c r="K4" i="3"/>
  <c r="F4" i="3" l="1"/>
  <c r="G4" i="3" s="1"/>
  <c r="J4" i="3" s="1"/>
  <c r="H4" i="3"/>
  <c r="I4" i="3"/>
  <c r="F3" i="3"/>
  <c r="G3" i="3"/>
  <c r="J3" i="3" s="1"/>
  <c r="H3" i="3"/>
  <c r="I3" i="3"/>
  <c r="L2" i="8" l="1"/>
  <c r="L3" i="8"/>
  <c r="L4" i="8"/>
  <c r="L5" i="8"/>
  <c r="K63" i="1" l="1"/>
  <c r="L63" i="1" s="1"/>
  <c r="N63" i="1"/>
  <c r="AB63" i="1" s="1"/>
  <c r="S63" i="1"/>
  <c r="AC63" i="1"/>
  <c r="K62" i="1"/>
  <c r="L62" i="1"/>
  <c r="N62" i="1"/>
  <c r="S62" i="1"/>
  <c r="AB62" i="1"/>
  <c r="AC62" i="1"/>
  <c r="AH62" i="1"/>
  <c r="AI62" i="1"/>
  <c r="AJ62" i="1"/>
  <c r="K61" i="1"/>
  <c r="L61" i="1" s="1"/>
  <c r="N61" i="1"/>
  <c r="S61" i="1"/>
  <c r="AB61" i="1"/>
  <c r="AC61" i="1"/>
  <c r="AE61" i="1"/>
  <c r="K60" i="1"/>
  <c r="L60" i="1"/>
  <c r="N60" i="1"/>
  <c r="S60" i="1"/>
  <c r="AB60" i="1"/>
  <c r="AC60" i="1"/>
  <c r="AD60" i="1"/>
  <c r="AH60" i="1"/>
  <c r="AI60" i="1"/>
  <c r="AJ60" i="1"/>
  <c r="H5" i="6"/>
  <c r="I5" i="6"/>
  <c r="K5" i="6"/>
  <c r="J5" i="6" s="1"/>
  <c r="L5" i="6" s="1"/>
  <c r="M5" i="6"/>
  <c r="N5" i="6"/>
  <c r="O5" i="6" l="1"/>
  <c r="S54" i="1"/>
  <c r="S2" i="1"/>
  <c r="T3" i="1" s="1"/>
  <c r="S3" i="1"/>
  <c r="T59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57" i="1"/>
  <c r="S58" i="1"/>
  <c r="S59" i="1"/>
  <c r="T2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7" i="1"/>
  <c r="V57" i="1" s="1"/>
  <c r="T58" i="1"/>
  <c r="N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AB55" i="1" s="1"/>
  <c r="N56" i="1"/>
  <c r="N57" i="1"/>
  <c r="N58" i="1"/>
  <c r="N59" i="1"/>
  <c r="K57" i="1"/>
  <c r="L57" i="1" s="1"/>
  <c r="AB57" i="1"/>
  <c r="AC57" i="1"/>
  <c r="K55" i="1"/>
  <c r="L55" i="1"/>
  <c r="AC55" i="1"/>
  <c r="AH55" i="1"/>
  <c r="AI55" i="1"/>
  <c r="AJ55" i="1"/>
  <c r="T49" i="1" l="1"/>
  <c r="T41" i="1"/>
  <c r="T33" i="1"/>
  <c r="T25" i="1"/>
  <c r="T17" i="1"/>
  <c r="T13" i="1"/>
  <c r="T9" i="1"/>
  <c r="T5" i="1"/>
  <c r="U57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53" i="1"/>
  <c r="T45" i="1"/>
  <c r="T37" i="1"/>
  <c r="T29" i="1"/>
  <c r="T21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O91" i="1"/>
  <c r="P91" i="1"/>
  <c r="Q91" i="1"/>
  <c r="R91" i="1"/>
  <c r="T91" i="1"/>
  <c r="O90" i="1"/>
  <c r="P90" i="1"/>
  <c r="Q90" i="1"/>
  <c r="R90" i="1"/>
  <c r="T90" i="1"/>
  <c r="O87" i="1"/>
  <c r="P87" i="1"/>
  <c r="Q87" i="1"/>
  <c r="R87" i="1"/>
  <c r="T87" i="1"/>
  <c r="O89" i="1"/>
  <c r="P89" i="1"/>
  <c r="Q89" i="1"/>
  <c r="R89" i="1"/>
  <c r="T89" i="1"/>
  <c r="O88" i="1"/>
  <c r="P88" i="1"/>
  <c r="Q88" i="1"/>
  <c r="R88" i="1"/>
  <c r="T88" i="1"/>
  <c r="O86" i="1"/>
  <c r="P86" i="1"/>
  <c r="Q86" i="1"/>
  <c r="R86" i="1"/>
  <c r="T86" i="1"/>
  <c r="O85" i="1"/>
  <c r="P85" i="1"/>
  <c r="Q85" i="1"/>
  <c r="R85" i="1"/>
  <c r="T85" i="1"/>
  <c r="O84" i="1"/>
  <c r="P84" i="1"/>
  <c r="Q84" i="1"/>
  <c r="R84" i="1"/>
  <c r="T84" i="1"/>
  <c r="O82" i="1"/>
  <c r="P82" i="1"/>
  <c r="Q82" i="1"/>
  <c r="R82" i="1"/>
  <c r="T82" i="1"/>
  <c r="O83" i="1"/>
  <c r="P83" i="1"/>
  <c r="Q83" i="1"/>
  <c r="R83" i="1"/>
  <c r="T83" i="1"/>
  <c r="O81" i="1"/>
  <c r="P81" i="1"/>
  <c r="Q81" i="1"/>
  <c r="R81" i="1"/>
  <c r="T81" i="1"/>
  <c r="O80" i="1"/>
  <c r="P80" i="1"/>
  <c r="Q80" i="1"/>
  <c r="R80" i="1"/>
  <c r="T80" i="1"/>
  <c r="O78" i="1"/>
  <c r="P78" i="1"/>
  <c r="Q78" i="1"/>
  <c r="R78" i="1"/>
  <c r="T78" i="1"/>
  <c r="O79" i="1"/>
  <c r="P79" i="1"/>
  <c r="Q79" i="1"/>
  <c r="R79" i="1"/>
  <c r="T79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4" i="1"/>
  <c r="P74" i="1"/>
  <c r="Q74" i="1"/>
  <c r="R74" i="1"/>
  <c r="T74" i="1"/>
  <c r="O72" i="1"/>
  <c r="P72" i="1"/>
  <c r="Q72" i="1"/>
  <c r="R72" i="1"/>
  <c r="T72" i="1"/>
  <c r="O73" i="1"/>
  <c r="P73" i="1"/>
  <c r="Q73" i="1"/>
  <c r="R73" i="1"/>
  <c r="T73" i="1"/>
  <c r="O71" i="1"/>
  <c r="P71" i="1"/>
  <c r="Q71" i="1"/>
  <c r="R71" i="1"/>
  <c r="T71" i="1"/>
  <c r="O70" i="1"/>
  <c r="P70" i="1"/>
  <c r="Q70" i="1"/>
  <c r="R70" i="1"/>
  <c r="T70" i="1"/>
  <c r="O67" i="1"/>
  <c r="P67" i="1"/>
  <c r="Q67" i="1"/>
  <c r="R67" i="1"/>
  <c r="T67" i="1"/>
  <c r="O66" i="1"/>
  <c r="P66" i="1"/>
  <c r="Q66" i="1"/>
  <c r="R66" i="1"/>
  <c r="T66" i="1"/>
  <c r="O65" i="1"/>
  <c r="P65" i="1"/>
  <c r="Q65" i="1"/>
  <c r="R65" i="1"/>
  <c r="T65" i="1"/>
  <c r="O69" i="1"/>
  <c r="P69" i="1"/>
  <c r="Q69" i="1"/>
  <c r="R69" i="1"/>
  <c r="T69" i="1"/>
  <c r="O68" i="1"/>
  <c r="P68" i="1"/>
  <c r="Q68" i="1"/>
  <c r="R68" i="1"/>
  <c r="T68" i="1"/>
  <c r="O64" i="1"/>
  <c r="P64" i="1"/>
  <c r="Q64" i="1"/>
  <c r="R64" i="1"/>
  <c r="T64" i="1"/>
  <c r="O63" i="1"/>
  <c r="P63" i="1"/>
  <c r="Q63" i="1"/>
  <c r="R63" i="1"/>
  <c r="T63" i="1"/>
  <c r="O62" i="1"/>
  <c r="P62" i="1"/>
  <c r="Q62" i="1"/>
  <c r="R62" i="1"/>
  <c r="T62" i="1"/>
  <c r="O61" i="1"/>
  <c r="P61" i="1"/>
  <c r="Q61" i="1"/>
  <c r="R61" i="1"/>
  <c r="T61" i="1"/>
  <c r="O60" i="1"/>
  <c r="P60" i="1"/>
  <c r="Q60" i="1"/>
  <c r="R60" i="1"/>
  <c r="T6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1" i="1"/>
  <c r="AJ22" i="1"/>
  <c r="AJ23" i="1"/>
  <c r="AJ24" i="1"/>
  <c r="AJ25" i="1"/>
  <c r="AJ26" i="1"/>
  <c r="AJ27" i="1"/>
  <c r="AJ28" i="1"/>
  <c r="AJ29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8" i="1"/>
  <c r="AJ49" i="1"/>
  <c r="AJ50" i="1"/>
  <c r="AJ51" i="1"/>
  <c r="AJ52" i="1"/>
  <c r="AJ53" i="1"/>
  <c r="I2" i="8"/>
  <c r="K2" i="8" s="1"/>
  <c r="I3" i="8"/>
  <c r="K3" i="8" s="1"/>
  <c r="I4" i="8"/>
  <c r="K4" i="8" s="1"/>
  <c r="I5" i="8"/>
  <c r="K5" i="8" s="1"/>
  <c r="H2" i="8"/>
  <c r="J2" i="8" s="1"/>
  <c r="H3" i="8"/>
  <c r="J3" i="8" s="1"/>
  <c r="H4" i="8"/>
  <c r="J4" i="8" s="1"/>
  <c r="H5" i="8"/>
  <c r="J5" i="8" s="1"/>
  <c r="V55" i="1" l="1"/>
  <c r="U55" i="1"/>
  <c r="U91" i="1"/>
  <c r="W91" i="1" s="1"/>
  <c r="V91" i="1"/>
  <c r="U90" i="1"/>
  <c r="V90" i="1"/>
  <c r="W90" i="1"/>
  <c r="U87" i="1"/>
  <c r="V87" i="1"/>
  <c r="W87" i="1"/>
  <c r="U89" i="1"/>
  <c r="W89" i="1" s="1"/>
  <c r="V89" i="1"/>
  <c r="U88" i="1"/>
  <c r="W88" i="1" s="1"/>
  <c r="V88" i="1"/>
  <c r="U86" i="1"/>
  <c r="V86" i="1"/>
  <c r="W86" i="1"/>
  <c r="U85" i="1"/>
  <c r="V85" i="1"/>
  <c r="W85" i="1"/>
  <c r="U84" i="1"/>
  <c r="W84" i="1" s="1"/>
  <c r="V84" i="1"/>
  <c r="U82" i="1"/>
  <c r="W82" i="1" s="1"/>
  <c r="V82" i="1"/>
  <c r="U83" i="1"/>
  <c r="V83" i="1"/>
  <c r="W83" i="1"/>
  <c r="U81" i="1"/>
  <c r="V81" i="1"/>
  <c r="W81" i="1"/>
  <c r="U80" i="1"/>
  <c r="W80" i="1" s="1"/>
  <c r="V80" i="1"/>
  <c r="U78" i="1"/>
  <c r="W78" i="1" s="1"/>
  <c r="V78" i="1"/>
  <c r="U79" i="1"/>
  <c r="V79" i="1"/>
  <c r="W79" i="1"/>
  <c r="U75" i="1"/>
  <c r="V75" i="1"/>
  <c r="W75" i="1"/>
  <c r="U76" i="1"/>
  <c r="W76" i="1" s="1"/>
  <c r="V76" i="1"/>
  <c r="U77" i="1"/>
  <c r="W77" i="1" s="1"/>
  <c r="V77" i="1"/>
  <c r="U74" i="1"/>
  <c r="V74" i="1"/>
  <c r="W74" i="1"/>
  <c r="U72" i="1"/>
  <c r="V72" i="1"/>
  <c r="W72" i="1"/>
  <c r="U73" i="1"/>
  <c r="W73" i="1" s="1"/>
  <c r="V73" i="1"/>
  <c r="U71" i="1"/>
  <c r="W71" i="1" s="1"/>
  <c r="V71" i="1"/>
  <c r="U70" i="1"/>
  <c r="V70" i="1"/>
  <c r="W70" i="1"/>
  <c r="U67" i="1"/>
  <c r="V67" i="1"/>
  <c r="W67" i="1"/>
  <c r="X67" i="1" s="1"/>
  <c r="U66" i="1"/>
  <c r="W66" i="1" s="1"/>
  <c r="X66" i="1" s="1"/>
  <c r="V66" i="1"/>
  <c r="U65" i="1"/>
  <c r="W65" i="1" s="1"/>
  <c r="X65" i="1" s="1"/>
  <c r="V65" i="1"/>
  <c r="U69" i="1"/>
  <c r="V69" i="1"/>
  <c r="W69" i="1"/>
  <c r="X69" i="1" s="1"/>
  <c r="U68" i="1"/>
  <c r="V68" i="1"/>
  <c r="W68" i="1"/>
  <c r="X68" i="1" s="1"/>
  <c r="U64" i="1"/>
  <c r="W64" i="1" s="1"/>
  <c r="X64" i="1" s="1"/>
  <c r="V64" i="1"/>
  <c r="U63" i="1"/>
  <c r="W63" i="1" s="1"/>
  <c r="X63" i="1" s="1"/>
  <c r="V63" i="1"/>
  <c r="U62" i="1"/>
  <c r="V62" i="1"/>
  <c r="W62" i="1"/>
  <c r="X62" i="1" s="1"/>
  <c r="U61" i="1"/>
  <c r="V61" i="1"/>
  <c r="W61" i="1"/>
  <c r="X61" i="1" s="1"/>
  <c r="U60" i="1"/>
  <c r="W60" i="1" s="1"/>
  <c r="X60" i="1" s="1"/>
  <c r="V60" i="1"/>
  <c r="M5" i="8"/>
  <c r="N5" i="8" s="1"/>
  <c r="M4" i="8"/>
  <c r="N4" i="8" s="1"/>
  <c r="M3" i="8"/>
  <c r="N3" i="8" s="1"/>
  <c r="M2" i="8"/>
  <c r="N2" i="8" s="1"/>
  <c r="X91" i="1" l="1"/>
  <c r="X90" i="1"/>
  <c r="X89" i="1"/>
  <c r="X87" i="1"/>
  <c r="X88" i="1"/>
  <c r="X86" i="1"/>
  <c r="X84" i="1"/>
  <c r="X85" i="1"/>
  <c r="X83" i="1"/>
  <c r="X82" i="1"/>
  <c r="X80" i="1"/>
  <c r="X81" i="1"/>
  <c r="X79" i="1"/>
  <c r="X78" i="1"/>
  <c r="X76" i="1"/>
  <c r="X75" i="1"/>
  <c r="X77" i="1"/>
  <c r="X74" i="1"/>
  <c r="X73" i="1"/>
  <c r="X72" i="1"/>
  <c r="X71" i="1"/>
  <c r="X70" i="1"/>
  <c r="N6" i="8"/>
  <c r="K56" i="1" l="1"/>
  <c r="L56" i="1" s="1"/>
  <c r="U56" i="1"/>
  <c r="V56" i="1"/>
  <c r="AB56" i="1"/>
  <c r="AC56" i="1"/>
  <c r="K54" i="1"/>
  <c r="L54" i="1"/>
  <c r="U54" i="1"/>
  <c r="V54" i="1"/>
  <c r="AB54" i="1"/>
  <c r="AC54" i="1"/>
  <c r="K53" i="1"/>
  <c r="L53" i="1"/>
  <c r="U53" i="1"/>
  <c r="V53" i="1"/>
  <c r="AB53" i="1"/>
  <c r="AC53" i="1"/>
  <c r="AH53" i="1"/>
  <c r="AI53" i="1"/>
  <c r="K52" i="1"/>
  <c r="L52" i="1"/>
  <c r="U52" i="1"/>
  <c r="V52" i="1"/>
  <c r="AB52" i="1"/>
  <c r="AC52" i="1"/>
  <c r="AH52" i="1"/>
  <c r="AI52" i="1"/>
  <c r="K51" i="1" l="1"/>
  <c r="L51" i="1"/>
  <c r="U51" i="1"/>
  <c r="V51" i="1"/>
  <c r="AB51" i="1"/>
  <c r="AC51" i="1"/>
  <c r="AH51" i="1"/>
  <c r="AI51" i="1"/>
  <c r="K48" i="1"/>
  <c r="L48" i="1"/>
  <c r="U48" i="1"/>
  <c r="V48" i="1"/>
  <c r="AB48" i="1"/>
  <c r="AC48" i="1"/>
  <c r="AE48" i="1"/>
  <c r="I5" i="7" l="1"/>
  <c r="J5" i="7"/>
  <c r="K5" i="7"/>
  <c r="L5" i="7"/>
  <c r="M5" i="7"/>
  <c r="N5" i="7"/>
  <c r="O5" i="7" l="1"/>
  <c r="K50" i="1"/>
  <c r="L50" i="1"/>
  <c r="V50" i="1"/>
  <c r="AB50" i="1"/>
  <c r="AC50" i="1"/>
  <c r="K58" i="1"/>
  <c r="L58" i="1" s="1"/>
  <c r="V58" i="1"/>
  <c r="U58" i="1"/>
  <c r="AB58" i="1"/>
  <c r="AC58" i="1"/>
  <c r="K47" i="1"/>
  <c r="L47" i="1" s="1"/>
  <c r="U47" i="1"/>
  <c r="AB47" i="1"/>
  <c r="AC47" i="1"/>
  <c r="AE47" i="1"/>
  <c r="K46" i="1"/>
  <c r="L46" i="1"/>
  <c r="U46" i="1"/>
  <c r="V46" i="1"/>
  <c r="AB46" i="1"/>
  <c r="AC46" i="1"/>
  <c r="AD46" i="1"/>
  <c r="I2" i="7"/>
  <c r="I3" i="7"/>
  <c r="I4" i="7"/>
  <c r="M4" i="7" s="1"/>
  <c r="K2" i="7"/>
  <c r="K3" i="7"/>
  <c r="K4" i="7"/>
  <c r="N4" i="7"/>
  <c r="J4" i="7"/>
  <c r="N3" i="7"/>
  <c r="J3" i="7"/>
  <c r="M3" i="7"/>
  <c r="N2" i="7"/>
  <c r="J2" i="7"/>
  <c r="M2" i="7"/>
  <c r="H4" i="6"/>
  <c r="M4" i="6" s="1"/>
  <c r="I4" i="6"/>
  <c r="N4" i="6"/>
  <c r="U50" i="1" l="1"/>
  <c r="K4" i="6"/>
  <c r="J4" i="6" s="1"/>
  <c r="L4" i="6" s="1"/>
  <c r="V47" i="1"/>
  <c r="L2" i="7"/>
  <c r="O2" i="7" s="1"/>
  <c r="L3" i="7"/>
  <c r="O3" i="7" s="1"/>
  <c r="L4" i="7"/>
  <c r="O4" i="7" s="1"/>
  <c r="O4" i="6"/>
  <c r="H3" i="6" l="1"/>
  <c r="M3" i="6" s="1"/>
  <c r="I3" i="6"/>
  <c r="K3" i="6"/>
  <c r="J3" i="6" s="1"/>
  <c r="L3" i="6" s="1"/>
  <c r="N3" i="6"/>
  <c r="O3" i="6" l="1"/>
  <c r="I2" i="6" l="1"/>
  <c r="H2" i="6"/>
  <c r="M2" i="6" s="1"/>
  <c r="N2" i="6"/>
  <c r="K2" i="6" l="1"/>
  <c r="J2" i="6" s="1"/>
  <c r="L2" i="6" s="1"/>
  <c r="O2" i="6" l="1"/>
  <c r="K49" i="1" l="1"/>
  <c r="L49" i="1" s="1"/>
  <c r="U49" i="1"/>
  <c r="V49" i="1"/>
  <c r="AB49" i="1"/>
  <c r="AC49" i="1"/>
  <c r="K59" i="1"/>
  <c r="L59" i="1" s="1"/>
  <c r="AB59" i="1"/>
  <c r="V59" i="1"/>
  <c r="U59" i="1"/>
  <c r="AC59" i="1"/>
  <c r="K39" i="1"/>
  <c r="L39" i="1" s="1"/>
  <c r="U39" i="1"/>
  <c r="AB39" i="1"/>
  <c r="AC39" i="1"/>
  <c r="AD39" i="1"/>
  <c r="K38" i="1"/>
  <c r="L38" i="1"/>
  <c r="U38" i="1"/>
  <c r="V38" i="1"/>
  <c r="AB38" i="1"/>
  <c r="AC38" i="1"/>
  <c r="AE38" i="1"/>
  <c r="AH38" i="1"/>
  <c r="AI38" i="1"/>
  <c r="V39" i="1" l="1"/>
  <c r="K45" i="1"/>
  <c r="L45" i="1"/>
  <c r="U45" i="1"/>
  <c r="V45" i="1"/>
  <c r="AB45" i="1"/>
  <c r="AC45" i="1"/>
  <c r="K41" i="1"/>
  <c r="L41" i="1" s="1"/>
  <c r="V41" i="1"/>
  <c r="U41" i="1"/>
  <c r="AB41" i="1"/>
  <c r="AC41" i="1"/>
  <c r="K37" i="1"/>
  <c r="L37" i="1"/>
  <c r="U37" i="1"/>
  <c r="AB37" i="1"/>
  <c r="AC37" i="1"/>
  <c r="AE37" i="1"/>
  <c r="K36" i="1"/>
  <c r="L36" i="1"/>
  <c r="AB36" i="1"/>
  <c r="U36" i="1"/>
  <c r="V36" i="1"/>
  <c r="AC36" i="1"/>
  <c r="AD36" i="1"/>
  <c r="AH36" i="1"/>
  <c r="AI36" i="1"/>
  <c r="V37" i="1" l="1"/>
  <c r="J2" i="5" l="1"/>
  <c r="K2" i="5"/>
  <c r="L2" i="5"/>
  <c r="U2" i="5"/>
  <c r="I2" i="4"/>
  <c r="I3" i="4"/>
  <c r="O2" i="4"/>
  <c r="O3" i="4"/>
  <c r="J2" i="4"/>
  <c r="J3" i="4"/>
  <c r="M2" i="5" l="1"/>
  <c r="N2" i="5" s="1"/>
  <c r="O2" i="5" s="1"/>
  <c r="Q2" i="5" s="1"/>
  <c r="AE33" i="1"/>
  <c r="AE32" i="1"/>
  <c r="AE30" i="1"/>
  <c r="AE28" i="1"/>
  <c r="AE25" i="1"/>
  <c r="AE22" i="1"/>
  <c r="AE21" i="1"/>
  <c r="AE20" i="1"/>
  <c r="AE17" i="1"/>
  <c r="AE16" i="1"/>
  <c r="AE12" i="1"/>
  <c r="AE11" i="1"/>
  <c r="AE9" i="1"/>
  <c r="AE7" i="1"/>
  <c r="AE4" i="1"/>
  <c r="AE3" i="1"/>
  <c r="AE2" i="1"/>
  <c r="P2" i="5" l="1"/>
  <c r="R2" i="5"/>
  <c r="S2" i="5"/>
  <c r="T2" i="5"/>
  <c r="V2" i="5" l="1"/>
  <c r="K3" i="4"/>
  <c r="L3" i="4" s="1"/>
  <c r="N3" i="4" s="1"/>
  <c r="H3" i="4" l="1"/>
  <c r="M3" i="4"/>
  <c r="P3" i="4" l="1"/>
  <c r="K43" i="1"/>
  <c r="L43" i="1" s="1"/>
  <c r="AB43" i="1"/>
  <c r="U43" i="1"/>
  <c r="AC43" i="1"/>
  <c r="K40" i="1"/>
  <c r="L40" i="1" s="1"/>
  <c r="U40" i="1"/>
  <c r="AB40" i="1"/>
  <c r="AC40" i="1"/>
  <c r="K44" i="1"/>
  <c r="L44" i="1" s="1"/>
  <c r="AB44" i="1"/>
  <c r="U44" i="1"/>
  <c r="AC44" i="1"/>
  <c r="AH44" i="1"/>
  <c r="AI44" i="1"/>
  <c r="K34" i="1"/>
  <c r="L34" i="1" s="1"/>
  <c r="AB34" i="1"/>
  <c r="U34" i="1"/>
  <c r="AC34" i="1"/>
  <c r="AD34" i="1"/>
  <c r="K33" i="1"/>
  <c r="L33" i="1" s="1"/>
  <c r="U33" i="1"/>
  <c r="AB33" i="1"/>
  <c r="AC33" i="1"/>
  <c r="AH33" i="1"/>
  <c r="AI33" i="1"/>
  <c r="V43" i="1" l="1"/>
  <c r="V44" i="1"/>
  <c r="V40" i="1"/>
  <c r="V34" i="1"/>
  <c r="V33" i="1"/>
  <c r="K32" i="1" l="1"/>
  <c r="L32" i="1" s="1"/>
  <c r="U32" i="1"/>
  <c r="AB32" i="1"/>
  <c r="AC32" i="1"/>
  <c r="K31" i="1"/>
  <c r="L31" i="1" s="1"/>
  <c r="AB31" i="1"/>
  <c r="U31" i="1"/>
  <c r="AC31" i="1"/>
  <c r="AH31" i="1"/>
  <c r="AI31" i="1"/>
  <c r="K2" i="4"/>
  <c r="L2" i="4" s="1"/>
  <c r="N2" i="4" s="1"/>
  <c r="AD29" i="1"/>
  <c r="AB21" i="1"/>
  <c r="AB2" i="1"/>
  <c r="AB3" i="1"/>
  <c r="AB4" i="1"/>
  <c r="AB7" i="1"/>
  <c r="AB9" i="1"/>
  <c r="AB11" i="1"/>
  <c r="AB12" i="1"/>
  <c r="AB16" i="1"/>
  <c r="AB17" i="1"/>
  <c r="AB20" i="1"/>
  <c r="AB22" i="1"/>
  <c r="AB25" i="1"/>
  <c r="AB28" i="1"/>
  <c r="AB30" i="1"/>
  <c r="AB35" i="1"/>
  <c r="K42" i="1"/>
  <c r="L42" i="1" s="1"/>
  <c r="U42" i="1"/>
  <c r="AC42" i="1"/>
  <c r="AH42" i="1"/>
  <c r="AI42" i="1"/>
  <c r="K35" i="1"/>
  <c r="L35" i="1" s="1"/>
  <c r="U35" i="1"/>
  <c r="AC35" i="1"/>
  <c r="Y27" i="1"/>
  <c r="K30" i="1"/>
  <c r="L30" i="1" s="1"/>
  <c r="U30" i="1"/>
  <c r="AC30" i="1"/>
  <c r="K29" i="1"/>
  <c r="L29" i="1" s="1"/>
  <c r="AB29" i="1"/>
  <c r="U29" i="1"/>
  <c r="AC29" i="1"/>
  <c r="AH29" i="1"/>
  <c r="AI29" i="1"/>
  <c r="K28" i="1"/>
  <c r="L28" i="1" s="1"/>
  <c r="U28" i="1"/>
  <c r="AC28" i="1"/>
  <c r="AH28" i="1"/>
  <c r="AI28" i="1"/>
  <c r="H2" i="4" l="1"/>
  <c r="M2" i="4"/>
  <c r="AB42" i="1"/>
  <c r="V32" i="1"/>
  <c r="V31" i="1"/>
  <c r="V29" i="1"/>
  <c r="V30" i="1"/>
  <c r="V28" i="1"/>
  <c r="V35" i="1"/>
  <c r="V42" i="1"/>
  <c r="F2" i="3"/>
  <c r="G2" i="3" s="1"/>
  <c r="H2" i="3"/>
  <c r="I2" i="3" s="1"/>
  <c r="J2" i="3" l="1"/>
  <c r="P2" i="4"/>
  <c r="K26" i="1"/>
  <c r="L26" i="1" s="1"/>
  <c r="AB26" i="1"/>
  <c r="U26" i="1"/>
  <c r="AC26" i="1"/>
  <c r="K27" i="1"/>
  <c r="L27" i="1" s="1"/>
  <c r="AB27" i="1"/>
  <c r="U27" i="1"/>
  <c r="AC27" i="1"/>
  <c r="AH27" i="1"/>
  <c r="AI27" i="1"/>
  <c r="K25" i="1"/>
  <c r="L25" i="1" s="1"/>
  <c r="U25" i="1"/>
  <c r="AC25" i="1"/>
  <c r="K24" i="1"/>
  <c r="L24" i="1" s="1"/>
  <c r="AB24" i="1"/>
  <c r="V24" i="1"/>
  <c r="AC24" i="1"/>
  <c r="AH24" i="1"/>
  <c r="AI24" i="1"/>
  <c r="K23" i="1"/>
  <c r="L23" i="1" s="1"/>
  <c r="AB23" i="1"/>
  <c r="U23" i="1"/>
  <c r="AC23" i="1"/>
  <c r="AH23" i="1"/>
  <c r="AI23" i="1"/>
  <c r="K22" i="1"/>
  <c r="L22" i="1" s="1"/>
  <c r="U22" i="1"/>
  <c r="AC22" i="1"/>
  <c r="AH22" i="1"/>
  <c r="AI22" i="1"/>
  <c r="K21" i="1"/>
  <c r="L21" i="1" s="1"/>
  <c r="U21" i="1"/>
  <c r="AC21" i="1"/>
  <c r="AH21" i="1"/>
  <c r="AI21" i="1"/>
  <c r="V26" i="1" l="1"/>
  <c r="V27" i="1"/>
  <c r="U24" i="1"/>
  <c r="V25" i="1"/>
  <c r="V23" i="1"/>
  <c r="V22" i="1"/>
  <c r="V2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18" i="1" s="1"/>
  <c r="K19" i="1"/>
  <c r="L19" i="1" s="1"/>
  <c r="K20" i="1"/>
  <c r="L20" i="1" s="1"/>
  <c r="U20" i="1"/>
  <c r="AC20" i="1"/>
  <c r="AB19" i="1"/>
  <c r="U19" i="1"/>
  <c r="AC19" i="1"/>
  <c r="AI19" i="1"/>
  <c r="AB18" i="1"/>
  <c r="U18" i="1"/>
  <c r="AC18" i="1"/>
  <c r="V20" i="1" l="1"/>
  <c r="V19" i="1"/>
  <c r="V18" i="1"/>
  <c r="L17" i="1"/>
  <c r="U17" i="1"/>
  <c r="AC17" i="1"/>
  <c r="V17" i="1" l="1"/>
  <c r="L16" i="1"/>
  <c r="U16" i="1"/>
  <c r="AC16" i="1"/>
  <c r="V16" i="1" l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L13" i="1" l="1"/>
  <c r="AB13" i="1"/>
  <c r="V13" i="1"/>
  <c r="AC13" i="1"/>
  <c r="L14" i="1"/>
  <c r="AB14" i="1"/>
  <c r="U14" i="1"/>
  <c r="AC14" i="1"/>
  <c r="L15" i="1"/>
  <c r="AB15" i="1"/>
  <c r="V15" i="1"/>
  <c r="AC15" i="1"/>
  <c r="L11" i="1"/>
  <c r="V11" i="1"/>
  <c r="AC11" i="1"/>
  <c r="L12" i="1"/>
  <c r="V12" i="1"/>
  <c r="AC12" i="1"/>
  <c r="L9" i="1"/>
  <c r="U9" i="1"/>
  <c r="AC9" i="1"/>
  <c r="L10" i="1"/>
  <c r="AB10" i="1"/>
  <c r="V10" i="1"/>
  <c r="AC10" i="1"/>
  <c r="L7" i="1"/>
  <c r="V7" i="1"/>
  <c r="AC7" i="1"/>
  <c r="L8" i="1"/>
  <c r="AB8" i="1"/>
  <c r="V8" i="1"/>
  <c r="AC8" i="1"/>
  <c r="L6" i="1"/>
  <c r="AB6" i="1"/>
  <c r="U6" i="1"/>
  <c r="AC6" i="1"/>
  <c r="A92" i="1"/>
  <c r="G92" i="1" s="1"/>
  <c r="V6" i="1" l="1"/>
  <c r="U7" i="1"/>
  <c r="U11" i="1"/>
  <c r="U8" i="1"/>
  <c r="U13" i="1"/>
  <c r="U10" i="1"/>
  <c r="V9" i="1"/>
  <c r="V14" i="1"/>
  <c r="U12" i="1"/>
  <c r="U15" i="1"/>
  <c r="L4" i="1"/>
  <c r="L5" i="1"/>
  <c r="AB5" i="1"/>
  <c r="U5" i="1"/>
  <c r="AC5" i="1"/>
  <c r="U4" i="1"/>
  <c r="AC4" i="1"/>
  <c r="V5" i="1" l="1"/>
  <c r="V4" i="1"/>
  <c r="L3" i="1"/>
  <c r="AC3" i="1"/>
  <c r="V2" i="1"/>
  <c r="AC2" i="1"/>
  <c r="M90" i="1" l="1"/>
  <c r="M91" i="1"/>
  <c r="M89" i="1"/>
  <c r="M87" i="1"/>
  <c r="M86" i="1"/>
  <c r="M88" i="1"/>
  <c r="M84" i="1"/>
  <c r="M85" i="1"/>
  <c r="M83" i="1"/>
  <c r="M82" i="1"/>
  <c r="M80" i="1"/>
  <c r="M81" i="1"/>
  <c r="M79" i="1"/>
  <c r="M78" i="1"/>
  <c r="M76" i="1"/>
  <c r="M75" i="1"/>
  <c r="M74" i="1"/>
  <c r="M77" i="1"/>
  <c r="M73" i="1"/>
  <c r="M72" i="1"/>
  <c r="M70" i="1"/>
  <c r="M71" i="1"/>
  <c r="M67" i="1"/>
  <c r="M66" i="1"/>
  <c r="M69" i="1"/>
  <c r="M65" i="1"/>
  <c r="M64" i="1"/>
  <c r="M68" i="1"/>
  <c r="M62" i="1"/>
  <c r="M63" i="1"/>
  <c r="M60" i="1"/>
  <c r="M61" i="1"/>
  <c r="M55" i="1"/>
  <c r="M57" i="1"/>
  <c r="O57" i="1"/>
  <c r="P57" i="1"/>
  <c r="Q57" i="1"/>
  <c r="R57" i="1"/>
  <c r="O55" i="1"/>
  <c r="P55" i="1"/>
  <c r="Q55" i="1"/>
  <c r="R55" i="1"/>
  <c r="M54" i="1"/>
  <c r="M56" i="1"/>
  <c r="O56" i="1"/>
  <c r="P56" i="1"/>
  <c r="Q56" i="1"/>
  <c r="R56" i="1"/>
  <c r="O54" i="1"/>
  <c r="P54" i="1"/>
  <c r="Q54" i="1"/>
  <c r="R54" i="1"/>
  <c r="M52" i="1"/>
  <c r="M53" i="1"/>
  <c r="O53" i="1"/>
  <c r="P53" i="1"/>
  <c r="Q53" i="1"/>
  <c r="R53" i="1"/>
  <c r="O52" i="1"/>
  <c r="P52" i="1"/>
  <c r="Q52" i="1"/>
  <c r="R52" i="1"/>
  <c r="M48" i="1"/>
  <c r="M51" i="1"/>
  <c r="O51" i="1"/>
  <c r="P51" i="1"/>
  <c r="Q51" i="1"/>
  <c r="R51" i="1"/>
  <c r="O48" i="1"/>
  <c r="P48" i="1"/>
  <c r="Q48" i="1"/>
  <c r="R48" i="1"/>
  <c r="M58" i="1"/>
  <c r="M50" i="1"/>
  <c r="O50" i="1"/>
  <c r="P50" i="1"/>
  <c r="Q50" i="1"/>
  <c r="R50" i="1"/>
  <c r="O58" i="1"/>
  <c r="P58" i="1"/>
  <c r="Q58" i="1"/>
  <c r="R58" i="1"/>
  <c r="M46" i="1"/>
  <c r="M47" i="1"/>
  <c r="O47" i="1"/>
  <c r="P47" i="1"/>
  <c r="Q47" i="1"/>
  <c r="R47" i="1"/>
  <c r="O46" i="1"/>
  <c r="P46" i="1"/>
  <c r="Q46" i="1"/>
  <c r="R46" i="1"/>
  <c r="M59" i="1"/>
  <c r="M49" i="1"/>
  <c r="O49" i="1"/>
  <c r="P49" i="1"/>
  <c r="Q49" i="1"/>
  <c r="R49" i="1"/>
  <c r="O59" i="1"/>
  <c r="P59" i="1"/>
  <c r="Q59" i="1"/>
  <c r="R59" i="1"/>
  <c r="M38" i="1"/>
  <c r="M39" i="1"/>
  <c r="O39" i="1"/>
  <c r="P39" i="1"/>
  <c r="Q39" i="1"/>
  <c r="R39" i="1"/>
  <c r="O38" i="1"/>
  <c r="P38" i="1"/>
  <c r="Q38" i="1"/>
  <c r="R38" i="1"/>
  <c r="M41" i="1"/>
  <c r="M45" i="1"/>
  <c r="O45" i="1"/>
  <c r="P45" i="1"/>
  <c r="Q45" i="1"/>
  <c r="R45" i="1"/>
  <c r="O41" i="1"/>
  <c r="P41" i="1"/>
  <c r="Q41" i="1"/>
  <c r="R41" i="1"/>
  <c r="M36" i="1"/>
  <c r="M37" i="1"/>
  <c r="O37" i="1"/>
  <c r="P37" i="1"/>
  <c r="Q37" i="1"/>
  <c r="R37" i="1"/>
  <c r="O36" i="1"/>
  <c r="P36" i="1"/>
  <c r="Q36" i="1"/>
  <c r="R36" i="1"/>
  <c r="P15" i="1"/>
  <c r="P31" i="1"/>
  <c r="P8" i="1"/>
  <c r="P24" i="1"/>
  <c r="P5" i="1"/>
  <c r="P21" i="1"/>
  <c r="P44" i="1"/>
  <c r="P14" i="1"/>
  <c r="P30" i="1"/>
  <c r="P3" i="1"/>
  <c r="P19" i="1"/>
  <c r="P42" i="1"/>
  <c r="P12" i="1"/>
  <c r="P28" i="1"/>
  <c r="P9" i="1"/>
  <c r="P25" i="1"/>
  <c r="P2" i="1"/>
  <c r="P18" i="1"/>
  <c r="P34" i="1"/>
  <c r="P7" i="1"/>
  <c r="P23" i="1"/>
  <c r="P43" i="1"/>
  <c r="P16" i="1"/>
  <c r="P32" i="1"/>
  <c r="P13" i="1"/>
  <c r="P29" i="1"/>
  <c r="P6" i="1"/>
  <c r="P22" i="1"/>
  <c r="P40" i="1"/>
  <c r="P11" i="1"/>
  <c r="P27" i="1"/>
  <c r="P4" i="1"/>
  <c r="P20" i="1"/>
  <c r="P35" i="1"/>
  <c r="P17" i="1"/>
  <c r="P33" i="1"/>
  <c r="P10" i="1"/>
  <c r="P26" i="1"/>
  <c r="M43" i="1"/>
  <c r="O43" i="1"/>
  <c r="R43" i="1"/>
  <c r="Q43" i="1"/>
  <c r="O40" i="1"/>
  <c r="Q40" i="1"/>
  <c r="R40" i="1"/>
  <c r="M44" i="1"/>
  <c r="M40" i="1"/>
  <c r="O44" i="1"/>
  <c r="Q44" i="1"/>
  <c r="R44" i="1"/>
  <c r="O34" i="1"/>
  <c r="Q34" i="1"/>
  <c r="R34" i="1"/>
  <c r="M33" i="1"/>
  <c r="M34" i="1"/>
  <c r="O33" i="1"/>
  <c r="R33" i="1"/>
  <c r="Q33" i="1"/>
  <c r="O32" i="1"/>
  <c r="Q32" i="1"/>
  <c r="R32" i="1"/>
  <c r="M31" i="1"/>
  <c r="M32" i="1"/>
  <c r="O31" i="1"/>
  <c r="Q31" i="1"/>
  <c r="R31" i="1"/>
  <c r="M42" i="1"/>
  <c r="M35" i="1"/>
  <c r="O42" i="1"/>
  <c r="Q42" i="1"/>
  <c r="R42" i="1"/>
  <c r="O35" i="1"/>
  <c r="Q35" i="1"/>
  <c r="R35" i="1"/>
  <c r="M29" i="1"/>
  <c r="M30" i="1"/>
  <c r="O30" i="1"/>
  <c r="Q30" i="1"/>
  <c r="R30" i="1"/>
  <c r="O29" i="1"/>
  <c r="Q29" i="1"/>
  <c r="R29" i="1"/>
  <c r="M26" i="1"/>
  <c r="M28" i="1"/>
  <c r="O28" i="1"/>
  <c r="Q28" i="1"/>
  <c r="R28" i="1"/>
  <c r="O26" i="1"/>
  <c r="R26" i="1"/>
  <c r="Q26" i="1"/>
  <c r="M25" i="1"/>
  <c r="M27" i="1"/>
  <c r="O27" i="1"/>
  <c r="R27" i="1"/>
  <c r="Q27" i="1"/>
  <c r="O25" i="1"/>
  <c r="R25" i="1"/>
  <c r="Q25" i="1"/>
  <c r="M23" i="1"/>
  <c r="M24" i="1"/>
  <c r="Q24" i="1"/>
  <c r="R24" i="1"/>
  <c r="O24" i="1"/>
  <c r="W24" i="1" s="1"/>
  <c r="X24" i="1" s="1"/>
  <c r="Q23" i="1"/>
  <c r="R23" i="1"/>
  <c r="O23" i="1"/>
  <c r="W23" i="1" s="1"/>
  <c r="X23" i="1" s="1"/>
  <c r="Q22" i="1"/>
  <c r="R22" i="1"/>
  <c r="O22" i="1"/>
  <c r="M21" i="1"/>
  <c r="M22" i="1"/>
  <c r="Q21" i="1"/>
  <c r="R21" i="1"/>
  <c r="O21" i="1"/>
  <c r="W21" i="1" s="1"/>
  <c r="X21" i="1" s="1"/>
  <c r="M20" i="1"/>
  <c r="O20" i="1"/>
  <c r="R20" i="1"/>
  <c r="Q20" i="1"/>
  <c r="O19" i="1"/>
  <c r="R19" i="1"/>
  <c r="Q19" i="1"/>
  <c r="M18" i="1"/>
  <c r="M19" i="1"/>
  <c r="O18" i="1"/>
  <c r="R18" i="1"/>
  <c r="Q18" i="1"/>
  <c r="M17" i="1"/>
  <c r="R17" i="1"/>
  <c r="O17" i="1"/>
  <c r="Q17" i="1"/>
  <c r="M16" i="1"/>
  <c r="O16" i="1"/>
  <c r="R16" i="1"/>
  <c r="Q16" i="1"/>
  <c r="M13" i="1"/>
  <c r="M14" i="1"/>
  <c r="M15" i="1"/>
  <c r="O13" i="1"/>
  <c r="Q13" i="1"/>
  <c r="R13" i="1"/>
  <c r="O14" i="1"/>
  <c r="Q14" i="1"/>
  <c r="R14" i="1"/>
  <c r="O15" i="1"/>
  <c r="Q15" i="1"/>
  <c r="R15" i="1"/>
  <c r="M11" i="1"/>
  <c r="M12" i="1"/>
  <c r="O11" i="1"/>
  <c r="Q11" i="1"/>
  <c r="R11" i="1"/>
  <c r="O12" i="1"/>
  <c r="Q12" i="1"/>
  <c r="R12" i="1"/>
  <c r="M9" i="1"/>
  <c r="M10" i="1"/>
  <c r="O9" i="1"/>
  <c r="Q9" i="1"/>
  <c r="R9" i="1"/>
  <c r="O10" i="1"/>
  <c r="Q10" i="1"/>
  <c r="R10" i="1"/>
  <c r="M7" i="1"/>
  <c r="M8" i="1"/>
  <c r="O7" i="1"/>
  <c r="Q7" i="1"/>
  <c r="R7" i="1"/>
  <c r="O8" i="1"/>
  <c r="Q8" i="1"/>
  <c r="R8" i="1"/>
  <c r="M6" i="1"/>
  <c r="O6" i="1"/>
  <c r="Q6" i="1"/>
  <c r="R6" i="1"/>
  <c r="R4" i="1"/>
  <c r="Q5" i="1"/>
  <c r="R2" i="1"/>
  <c r="Q3" i="1"/>
  <c r="R3" i="1"/>
  <c r="Q4" i="1"/>
  <c r="R5" i="1"/>
  <c r="Q2" i="1"/>
  <c r="U3" i="1"/>
  <c r="V3" i="1"/>
  <c r="M5" i="1"/>
  <c r="O5" i="1"/>
  <c r="W5" i="1" s="1"/>
  <c r="X5" i="1" s="1"/>
  <c r="L2" i="1"/>
  <c r="U2" i="1"/>
  <c r="W22" i="1" l="1"/>
  <c r="X22" i="1" s="1"/>
  <c r="W6" i="1"/>
  <c r="X6" i="1" s="1"/>
  <c r="W8" i="1"/>
  <c r="X8" i="1" s="1"/>
  <c r="W7" i="1"/>
  <c r="X7" i="1" s="1"/>
  <c r="W10" i="1"/>
  <c r="X10" i="1" s="1"/>
  <c r="W9" i="1"/>
  <c r="X9" i="1" s="1"/>
  <c r="W12" i="1"/>
  <c r="X12" i="1" s="1"/>
  <c r="W11" i="1"/>
  <c r="X11" i="1" s="1"/>
  <c r="W15" i="1"/>
  <c r="X15" i="1" s="1"/>
  <c r="W14" i="1"/>
  <c r="X14" i="1" s="1"/>
  <c r="W13" i="1"/>
  <c r="X13" i="1" s="1"/>
  <c r="W16" i="1"/>
  <c r="X16" i="1" s="1"/>
  <c r="W17" i="1"/>
  <c r="X17" i="1" s="1"/>
  <c r="W18" i="1"/>
  <c r="X18" i="1" s="1"/>
  <c r="W19" i="1"/>
  <c r="X19" i="1" s="1"/>
  <c r="W20" i="1"/>
  <c r="X20" i="1" s="1"/>
  <c r="W25" i="1"/>
  <c r="X25" i="1" s="1"/>
  <c r="W27" i="1"/>
  <c r="X27" i="1" s="1"/>
  <c r="W26" i="1"/>
  <c r="X26" i="1" s="1"/>
  <c r="W28" i="1"/>
  <c r="X28" i="1" s="1"/>
  <c r="W29" i="1"/>
  <c r="X29" i="1" s="1"/>
  <c r="W30" i="1"/>
  <c r="X30" i="1" s="1"/>
  <c r="W35" i="1"/>
  <c r="X35" i="1" s="1"/>
  <c r="W42" i="1"/>
  <c r="X42" i="1" s="1"/>
  <c r="W31" i="1"/>
  <c r="X31" i="1" s="1"/>
  <c r="W32" i="1"/>
  <c r="X32" i="1" s="1"/>
  <c r="W33" i="1"/>
  <c r="X33" i="1" s="1"/>
  <c r="W34" i="1"/>
  <c r="X34" i="1" s="1"/>
  <c r="W44" i="1"/>
  <c r="X44" i="1" s="1"/>
  <c r="W40" i="1"/>
  <c r="X40" i="1" s="1"/>
  <c r="W43" i="1"/>
  <c r="X43" i="1" s="1"/>
  <c r="W36" i="1"/>
  <c r="X36" i="1" s="1"/>
  <c r="W37" i="1"/>
  <c r="X37" i="1" s="1"/>
  <c r="W41" i="1"/>
  <c r="X41" i="1" s="1"/>
  <c r="W45" i="1"/>
  <c r="X45" i="1" s="1"/>
  <c r="W38" i="1"/>
  <c r="X38" i="1" s="1"/>
  <c r="W39" i="1"/>
  <c r="X39" i="1" s="1"/>
  <c r="W59" i="1"/>
  <c r="X59" i="1" s="1"/>
  <c r="W49" i="1"/>
  <c r="X49" i="1" s="1"/>
  <c r="W46" i="1"/>
  <c r="X46" i="1" s="1"/>
  <c r="W47" i="1"/>
  <c r="X47" i="1" s="1"/>
  <c r="W58" i="1"/>
  <c r="X58" i="1" s="1"/>
  <c r="W50" i="1"/>
  <c r="X50" i="1" s="1"/>
  <c r="W48" i="1"/>
  <c r="X48" i="1" s="1"/>
  <c r="W51" i="1"/>
  <c r="X51" i="1" s="1"/>
  <c r="W52" i="1"/>
  <c r="X52" i="1" s="1"/>
  <c r="W53" i="1"/>
  <c r="X53" i="1" s="1"/>
  <c r="W54" i="1"/>
  <c r="X54" i="1" s="1"/>
  <c r="W56" i="1"/>
  <c r="X56" i="1" s="1"/>
  <c r="W55" i="1"/>
  <c r="X55" i="1" s="1"/>
  <c r="W57" i="1"/>
  <c r="X57" i="1" s="1"/>
  <c r="AI18" i="1"/>
  <c r="M4" i="1"/>
  <c r="M3" i="1"/>
  <c r="M2" i="1"/>
  <c r="AJ66" i="1" l="1"/>
  <c r="AJ65" i="1"/>
  <c r="AJ64" i="1"/>
  <c r="AJ68" i="1"/>
  <c r="AJ63" i="1"/>
  <c r="O4" i="1"/>
  <c r="W4" i="1" s="1"/>
  <c r="X4" i="1" s="1"/>
  <c r="O3" i="1"/>
  <c r="W3" i="1" s="1"/>
  <c r="X3" i="1" s="1"/>
  <c r="O2" i="1"/>
  <c r="W2" i="1" s="1"/>
  <c r="X2" i="1" s="1"/>
  <c r="Y91" i="1" s="1"/>
  <c r="AJ90" i="1" l="1"/>
  <c r="Y90" i="1"/>
  <c r="Y89" i="1"/>
  <c r="AJ89" i="1"/>
  <c r="AJ88" i="1"/>
  <c r="Y87" i="1"/>
  <c r="Y86" i="1"/>
  <c r="Y88" i="1"/>
  <c r="Y83" i="1"/>
  <c r="Y84" i="1"/>
  <c r="Y85" i="1"/>
  <c r="AJ81" i="1"/>
  <c r="Y82" i="1"/>
  <c r="AJ79" i="1"/>
  <c r="Y80" i="1"/>
  <c r="Y81" i="1"/>
  <c r="Y78" i="1"/>
  <c r="Y79" i="1"/>
  <c r="Y75" i="1"/>
  <c r="Y76" i="1"/>
  <c r="Y74" i="1"/>
  <c r="AJ77" i="1"/>
  <c r="Y77" i="1"/>
  <c r="AJ73" i="1"/>
  <c r="AJ74" i="1"/>
  <c r="Y72" i="1"/>
  <c r="Y73" i="1"/>
  <c r="AJ70" i="1"/>
  <c r="Y71" i="1"/>
  <c r="AJ71" i="1"/>
  <c r="AJ67" i="1"/>
  <c r="Y70" i="1"/>
  <c r="AJ61" i="1"/>
  <c r="Y61" i="1"/>
  <c r="Y60" i="1"/>
  <c r="Y63" i="1"/>
  <c r="Y62" i="1"/>
  <c r="Y64" i="1"/>
  <c r="Y68" i="1"/>
  <c r="Y65" i="1"/>
  <c r="Y69" i="1"/>
  <c r="AJ69" i="1"/>
  <c r="Y66" i="1"/>
  <c r="Y67" i="1"/>
  <c r="AJ58" i="1"/>
  <c r="AJ57" i="1"/>
  <c r="Y57" i="1"/>
  <c r="Y55" i="1"/>
  <c r="AJ54" i="1"/>
  <c r="AJ20" i="1"/>
  <c r="AJ30" i="1"/>
  <c r="AJ47" i="1"/>
  <c r="AJ59" i="1"/>
  <c r="AJ56" i="1"/>
  <c r="Y54" i="1"/>
  <c r="Y56" i="1"/>
  <c r="Y52" i="1"/>
  <c r="Y53" i="1"/>
  <c r="Y51" i="1"/>
  <c r="Y48" i="1"/>
  <c r="Y50" i="1"/>
  <c r="Y58" i="1"/>
  <c r="Y47" i="1"/>
  <c r="Y46" i="1"/>
  <c r="Y49" i="1"/>
  <c r="Y59" i="1"/>
  <c r="Y39" i="1"/>
  <c r="Y38" i="1"/>
  <c r="Y45" i="1"/>
  <c r="Y41" i="1"/>
  <c r="Y36" i="1"/>
  <c r="Y37" i="1"/>
  <c r="Y43" i="1"/>
  <c r="Y44" i="1"/>
  <c r="Y40" i="1"/>
  <c r="Y34" i="1"/>
  <c r="Y33" i="1"/>
  <c r="Y32" i="1"/>
  <c r="Y31" i="1"/>
  <c r="Y8" i="1"/>
  <c r="Y16" i="1"/>
  <c r="Y29" i="1"/>
  <c r="Y12" i="1"/>
  <c r="Y24" i="1"/>
  <c r="Y7" i="1"/>
  <c r="Y20" i="1"/>
  <c r="Y23" i="1"/>
  <c r="Y15" i="1"/>
  <c r="Y11" i="1"/>
  <c r="Y6" i="1"/>
  <c r="Y26" i="1"/>
  <c r="Y22" i="1"/>
  <c r="Y18" i="1"/>
  <c r="Y14" i="1"/>
  <c r="Y9" i="1"/>
  <c r="Y10" i="1"/>
  <c r="Y28" i="1"/>
  <c r="Y19" i="1"/>
  <c r="Y3" i="1"/>
  <c r="Y30" i="1"/>
  <c r="Y25" i="1"/>
  <c r="Y21" i="1"/>
  <c r="Y17" i="1"/>
  <c r="Y13" i="1"/>
  <c r="Y5" i="1"/>
  <c r="Y42" i="1"/>
  <c r="Y35" i="1"/>
  <c r="Y4" i="1"/>
  <c r="AB92" i="1"/>
  <c r="Y2" i="1" l="1"/>
  <c r="Z91" i="1" s="1"/>
  <c r="AA91" i="1" s="1"/>
  <c r="AE91" i="1" s="1"/>
  <c r="Z87" i="1" l="1"/>
  <c r="AA87" i="1" s="1"/>
  <c r="Z90" i="1"/>
  <c r="AA90" i="1" s="1"/>
  <c r="AE90" i="1" s="1"/>
  <c r="Z88" i="1"/>
  <c r="AA88" i="1" s="1"/>
  <c r="AE88" i="1" s="1"/>
  <c r="Z89" i="1"/>
  <c r="AA89" i="1" s="1"/>
  <c r="AE89" i="1" s="1"/>
  <c r="Z85" i="1"/>
  <c r="AA85" i="1" s="1"/>
  <c r="AE85" i="1" s="1"/>
  <c r="Z86" i="1"/>
  <c r="AA86" i="1" s="1"/>
  <c r="Z82" i="1"/>
  <c r="AA82" i="1" s="1"/>
  <c r="Z84" i="1"/>
  <c r="AA84" i="1" s="1"/>
  <c r="Z81" i="1"/>
  <c r="AA81" i="1" s="1"/>
  <c r="AE81" i="1" s="1"/>
  <c r="Z83" i="1"/>
  <c r="AA83" i="1" s="1"/>
  <c r="AE83" i="1" s="1"/>
  <c r="Z78" i="1"/>
  <c r="AA78" i="1" s="1"/>
  <c r="Z80" i="1"/>
  <c r="AA80" i="1" s="1"/>
  <c r="Z75" i="1"/>
  <c r="AA75" i="1" s="1"/>
  <c r="Z79" i="1"/>
  <c r="AA79" i="1" s="1"/>
  <c r="AE79" i="1" s="1"/>
  <c r="Z74" i="1"/>
  <c r="AA74" i="1" s="1"/>
  <c r="Z76" i="1"/>
  <c r="AA76" i="1" s="1"/>
  <c r="AE76" i="1" s="1"/>
  <c r="Z77" i="1"/>
  <c r="AA77" i="1" s="1"/>
  <c r="AE77" i="1" s="1"/>
  <c r="Z73" i="1"/>
  <c r="AA73" i="1" s="1"/>
  <c r="AE73" i="1" s="1"/>
  <c r="Z72" i="1"/>
  <c r="AA72" i="1" s="1"/>
  <c r="Z70" i="1"/>
  <c r="AA70" i="1" s="1"/>
  <c r="Z71" i="1"/>
  <c r="AA71" i="1" s="1"/>
  <c r="AE71" i="1" s="1"/>
  <c r="Z67" i="1"/>
  <c r="AA67" i="1" s="1"/>
  <c r="Z66" i="1"/>
  <c r="AA66" i="1" s="1"/>
  <c r="AE66" i="1" s="1"/>
  <c r="Z69" i="1"/>
  <c r="AA69" i="1" s="1"/>
  <c r="Z65" i="1"/>
  <c r="AA65" i="1" s="1"/>
  <c r="Z64" i="1"/>
  <c r="AA64" i="1" s="1"/>
  <c r="AE64" i="1" s="1"/>
  <c r="Z68" i="1"/>
  <c r="AA68" i="1" s="1"/>
  <c r="Z62" i="1"/>
  <c r="AA62" i="1" s="1"/>
  <c r="AD62" i="1" s="1"/>
  <c r="Z63" i="1"/>
  <c r="AA63" i="1" s="1"/>
  <c r="AE63" i="1" s="1"/>
  <c r="Z60" i="1"/>
  <c r="AA60" i="1" s="1"/>
  <c r="Z61" i="1"/>
  <c r="AA61" i="1" s="1"/>
  <c r="Z55" i="1"/>
  <c r="AA55" i="1" s="1"/>
  <c r="AE55" i="1" s="1"/>
  <c r="Z57" i="1"/>
  <c r="AA57" i="1" s="1"/>
  <c r="AE57" i="1" s="1"/>
  <c r="Z54" i="1"/>
  <c r="AA54" i="1" s="1"/>
  <c r="Z56" i="1"/>
  <c r="AA56" i="1" s="1"/>
  <c r="Z52" i="1"/>
  <c r="AA52" i="1" s="1"/>
  <c r="Z53" i="1"/>
  <c r="AA53" i="1" s="1"/>
  <c r="AE53" i="1" s="1"/>
  <c r="Z48" i="1"/>
  <c r="AA48" i="1" s="1"/>
  <c r="Z51" i="1"/>
  <c r="AA51" i="1" s="1"/>
  <c r="AE51" i="1" s="1"/>
  <c r="Z58" i="1"/>
  <c r="AA58" i="1" s="1"/>
  <c r="AE58" i="1" s="1"/>
  <c r="Z50" i="1"/>
  <c r="AA50" i="1" s="1"/>
  <c r="AD50" i="1" s="1"/>
  <c r="Z46" i="1"/>
  <c r="AA46" i="1" s="1"/>
  <c r="Z47" i="1"/>
  <c r="AA47" i="1" s="1"/>
  <c r="Z59" i="1"/>
  <c r="AA59" i="1" s="1"/>
  <c r="AE59" i="1" s="1"/>
  <c r="Z49" i="1"/>
  <c r="AA49" i="1" s="1"/>
  <c r="AD49" i="1" s="1"/>
  <c r="Z38" i="1"/>
  <c r="AA38" i="1" s="1"/>
  <c r="Z39" i="1"/>
  <c r="AA39" i="1" s="1"/>
  <c r="Z41" i="1"/>
  <c r="AA41" i="1" s="1"/>
  <c r="Z45" i="1"/>
  <c r="AA45" i="1" s="1"/>
  <c r="Z36" i="1"/>
  <c r="AA36" i="1" s="1"/>
  <c r="Z37" i="1"/>
  <c r="AA37" i="1" s="1"/>
  <c r="Z40" i="1"/>
  <c r="AA40" i="1" s="1"/>
  <c r="Z43" i="1"/>
  <c r="AA43" i="1" s="1"/>
  <c r="AE43" i="1" s="1"/>
  <c r="Z34" i="1"/>
  <c r="AA34" i="1" s="1"/>
  <c r="Z44" i="1"/>
  <c r="AA44" i="1" s="1"/>
  <c r="AE44" i="1" s="1"/>
  <c r="Z32" i="1"/>
  <c r="AA32" i="1" s="1"/>
  <c r="Z33" i="1"/>
  <c r="AA33" i="1" s="1"/>
  <c r="Z30" i="1"/>
  <c r="AA30" i="1" s="1"/>
  <c r="Z31" i="1"/>
  <c r="AA31" i="1" s="1"/>
  <c r="AE31" i="1" s="1"/>
  <c r="Z14" i="1"/>
  <c r="AA14" i="1" s="1"/>
  <c r="AE14" i="1" s="1"/>
  <c r="Z18" i="1"/>
  <c r="AA18" i="1" s="1"/>
  <c r="AE18" i="1" s="1"/>
  <c r="Z6" i="1"/>
  <c r="AA6" i="1" s="1"/>
  <c r="AE6" i="1" s="1"/>
  <c r="Z22" i="1"/>
  <c r="AA22" i="1" s="1"/>
  <c r="Z3" i="1"/>
  <c r="AA3" i="1" s="1"/>
  <c r="Z10" i="1"/>
  <c r="AA10" i="1" s="1"/>
  <c r="AE10" i="1" s="1"/>
  <c r="Z27" i="1"/>
  <c r="AA27" i="1" s="1"/>
  <c r="AE27" i="1" s="1"/>
  <c r="Z4" i="1"/>
  <c r="AA4" i="1" s="1"/>
  <c r="Z12" i="1"/>
  <c r="AA12" i="1" s="1"/>
  <c r="Z19" i="1"/>
  <c r="AA19" i="1" s="1"/>
  <c r="AE19" i="1" s="1"/>
  <c r="Z26" i="1"/>
  <c r="AA26" i="1" s="1"/>
  <c r="AE26" i="1" s="1"/>
  <c r="Z2" i="1"/>
  <c r="Z7" i="1"/>
  <c r="AA7" i="1" s="1"/>
  <c r="Z11" i="1"/>
  <c r="AA11" i="1" s="1"/>
  <c r="Z16" i="1"/>
  <c r="AA16" i="1" s="1"/>
  <c r="Z20" i="1"/>
  <c r="AA20" i="1" s="1"/>
  <c r="Z24" i="1"/>
  <c r="AA24" i="1" s="1"/>
  <c r="AE24" i="1" s="1"/>
  <c r="Z29" i="1"/>
  <c r="AA29" i="1" s="1"/>
  <c r="Z8" i="1"/>
  <c r="AA8" i="1" s="1"/>
  <c r="AE8" i="1" s="1"/>
  <c r="Z13" i="1"/>
  <c r="AA13" i="1" s="1"/>
  <c r="AE13" i="1" s="1"/>
  <c r="Z23" i="1"/>
  <c r="AA23" i="1" s="1"/>
  <c r="AE23" i="1" s="1"/>
  <c r="Z5" i="1"/>
  <c r="AA5" i="1" s="1"/>
  <c r="AE5" i="1" s="1"/>
  <c r="Z9" i="1"/>
  <c r="AA9" i="1" s="1"/>
  <c r="Z15" i="1"/>
  <c r="AA15" i="1" s="1"/>
  <c r="AE15" i="1" s="1"/>
  <c r="Z17" i="1"/>
  <c r="AA17" i="1" s="1"/>
  <c r="Z21" i="1"/>
  <c r="AA21" i="1" s="1"/>
  <c r="Z25" i="1"/>
  <c r="AA25" i="1" s="1"/>
  <c r="Z28" i="1"/>
  <c r="AA28" i="1" s="1"/>
  <c r="Z42" i="1"/>
  <c r="AA42" i="1" s="1"/>
  <c r="AE42" i="1" s="1"/>
  <c r="Z35" i="1"/>
  <c r="AA35" i="1" s="1"/>
  <c r="AD91" i="1" l="1"/>
  <c r="AF91" i="1" s="1"/>
  <c r="AD90" i="1"/>
  <c r="AF90" i="1" s="1"/>
  <c r="AD89" i="1"/>
  <c r="AF89" i="1" s="1"/>
  <c r="AD87" i="1"/>
  <c r="AF87" i="1" s="1"/>
  <c r="AG87" i="1" s="1"/>
  <c r="AD88" i="1"/>
  <c r="AF88" i="1" s="1"/>
  <c r="AD86" i="1"/>
  <c r="AF86" i="1" s="1"/>
  <c r="AG86" i="1" s="1"/>
  <c r="AD85" i="1"/>
  <c r="AF85" i="1" s="1"/>
  <c r="AD84" i="1"/>
  <c r="AF84" i="1" s="1"/>
  <c r="AG84" i="1" s="1"/>
  <c r="AD83" i="1"/>
  <c r="AF83" i="1" s="1"/>
  <c r="AD82" i="1"/>
  <c r="AF82" i="1" s="1"/>
  <c r="AG82" i="1" s="1"/>
  <c r="AD81" i="1"/>
  <c r="AF81" i="1" s="1"/>
  <c r="AD80" i="1"/>
  <c r="AF80" i="1" s="1"/>
  <c r="AG80" i="1" s="1"/>
  <c r="AD79" i="1"/>
  <c r="AF79" i="1" s="1"/>
  <c r="AD78" i="1"/>
  <c r="AF78" i="1" s="1"/>
  <c r="AG78" i="1" s="1"/>
  <c r="AD76" i="1"/>
  <c r="AF76" i="1" s="1"/>
  <c r="AD75" i="1"/>
  <c r="AF75" i="1" s="1"/>
  <c r="AG75" i="1" s="1"/>
  <c r="AD77" i="1"/>
  <c r="AF77" i="1" s="1"/>
  <c r="AD74" i="1"/>
  <c r="AF74" i="1" s="1"/>
  <c r="AG74" i="1" s="1"/>
  <c r="AD73" i="1"/>
  <c r="AF73" i="1" s="1"/>
  <c r="AD72" i="1"/>
  <c r="AF72" i="1" s="1"/>
  <c r="AG72" i="1" s="1"/>
  <c r="AE68" i="1"/>
  <c r="AD71" i="1"/>
  <c r="AF71" i="1" s="1"/>
  <c r="AD70" i="1"/>
  <c r="AE70" i="1"/>
  <c r="AF70" i="1"/>
  <c r="AE67" i="1"/>
  <c r="AD67" i="1"/>
  <c r="AD66" i="1"/>
  <c r="AF66" i="1" s="1"/>
  <c r="AE69" i="1"/>
  <c r="AE65" i="1"/>
  <c r="AD65" i="1"/>
  <c r="AF65" i="1" s="1"/>
  <c r="AG65" i="1" s="1"/>
  <c r="AD69" i="1"/>
  <c r="AD68" i="1"/>
  <c r="AF68" i="1" s="1"/>
  <c r="AD64" i="1"/>
  <c r="AF64" i="1" s="1"/>
  <c r="AG64" i="1" s="1"/>
  <c r="AD63" i="1"/>
  <c r="AF63" i="1" s="1"/>
  <c r="AE62" i="1"/>
  <c r="AF62" i="1" s="1"/>
  <c r="AD61" i="1"/>
  <c r="AF61" i="1" s="1"/>
  <c r="AG61" i="1" s="1"/>
  <c r="AE60" i="1"/>
  <c r="AF60" i="1" s="1"/>
  <c r="AG60" i="1" s="1"/>
  <c r="AE56" i="1"/>
  <c r="AD54" i="1"/>
  <c r="AD57" i="1"/>
  <c r="AF57" i="1" s="1"/>
  <c r="AD55" i="1"/>
  <c r="AF55" i="1" s="1"/>
  <c r="AD56" i="1"/>
  <c r="AF56" i="1" s="1"/>
  <c r="AE54" i="1"/>
  <c r="AF54" i="1" s="1"/>
  <c r="AG54" i="1" s="1"/>
  <c r="AE52" i="1"/>
  <c r="AD53" i="1"/>
  <c r="AF53" i="1" s="1"/>
  <c r="AG53" i="1" s="1"/>
  <c r="AD52" i="1"/>
  <c r="AD51" i="1"/>
  <c r="AF51" i="1" s="1"/>
  <c r="AD48" i="1"/>
  <c r="AF48" i="1" s="1"/>
  <c r="AG48" i="1" s="1"/>
  <c r="AE50" i="1"/>
  <c r="AF50" i="1" s="1"/>
  <c r="AD58" i="1"/>
  <c r="AF58" i="1" s="1"/>
  <c r="AD47" i="1"/>
  <c r="AF47" i="1" s="1"/>
  <c r="AG47" i="1" s="1"/>
  <c r="AE46" i="1"/>
  <c r="AF46" i="1" s="1"/>
  <c r="AG46" i="1" s="1"/>
  <c r="AE49" i="1"/>
  <c r="AF49" i="1" s="1"/>
  <c r="AD59" i="1"/>
  <c r="AF59" i="1" s="1"/>
  <c r="AE39" i="1"/>
  <c r="AF39" i="1" s="1"/>
  <c r="AG39" i="1" s="1"/>
  <c r="AD38" i="1"/>
  <c r="AF38" i="1" s="1"/>
  <c r="AG38" i="1" s="1"/>
  <c r="AE45" i="1"/>
  <c r="AD41" i="1"/>
  <c r="AD45" i="1"/>
  <c r="AE41" i="1"/>
  <c r="AD37" i="1"/>
  <c r="AF37" i="1" s="1"/>
  <c r="AG37" i="1" s="1"/>
  <c r="AE36" i="1"/>
  <c r="AF36" i="1" s="1"/>
  <c r="AG36" i="1" s="1"/>
  <c r="AA2" i="1"/>
  <c r="AE29" i="1"/>
  <c r="AF29" i="1" s="1"/>
  <c r="AG29" i="1" s="1"/>
  <c r="AE35" i="1"/>
  <c r="AE40" i="1"/>
  <c r="AE34" i="1"/>
  <c r="AF34" i="1" s="1"/>
  <c r="AG34" i="1" s="1"/>
  <c r="AD40" i="1"/>
  <c r="AD43" i="1"/>
  <c r="AF43" i="1" s="1"/>
  <c r="AD44" i="1"/>
  <c r="AF44" i="1" s="1"/>
  <c r="AD33" i="1"/>
  <c r="AF33" i="1" s="1"/>
  <c r="AG33" i="1" s="1"/>
  <c r="AD32" i="1"/>
  <c r="AF32" i="1" s="1"/>
  <c r="AG32" i="1" s="1"/>
  <c r="AD31" i="1"/>
  <c r="AF31" i="1" s="1"/>
  <c r="AD2" i="1"/>
  <c r="AF2" i="1" s="1"/>
  <c r="AG2" i="1" s="1"/>
  <c r="AD42" i="1"/>
  <c r="AF42" i="1" s="1"/>
  <c r="AD30" i="1"/>
  <c r="AF30" i="1" s="1"/>
  <c r="AG30" i="1" s="1"/>
  <c r="AD28" i="1"/>
  <c r="AF28" i="1" s="1"/>
  <c r="AG28" i="1" s="1"/>
  <c r="AD27" i="1"/>
  <c r="AF27" i="1" s="1"/>
  <c r="AD26" i="1"/>
  <c r="AF26" i="1" s="1"/>
  <c r="AD25" i="1"/>
  <c r="AF25" i="1" s="1"/>
  <c r="AG25" i="1" s="1"/>
  <c r="AD24" i="1"/>
  <c r="AF24" i="1" s="1"/>
  <c r="AD23" i="1"/>
  <c r="AF23" i="1" s="1"/>
  <c r="AD22" i="1"/>
  <c r="AF22" i="1" s="1"/>
  <c r="AG22" i="1" s="1"/>
  <c r="AD21" i="1"/>
  <c r="AF21" i="1" s="1"/>
  <c r="AG21" i="1" s="1"/>
  <c r="AD20" i="1"/>
  <c r="AF20" i="1" s="1"/>
  <c r="AG20" i="1" s="1"/>
  <c r="AD19" i="1"/>
  <c r="AF19" i="1" s="1"/>
  <c r="AD18" i="1"/>
  <c r="AF18" i="1" s="1"/>
  <c r="AD17" i="1"/>
  <c r="AF17" i="1" s="1"/>
  <c r="AG17" i="1" s="1"/>
  <c r="AD16" i="1"/>
  <c r="AF16" i="1" s="1"/>
  <c r="AG16" i="1" s="1"/>
  <c r="AD15" i="1"/>
  <c r="AF15" i="1" s="1"/>
  <c r="AD14" i="1"/>
  <c r="AF14" i="1" s="1"/>
  <c r="AD13" i="1"/>
  <c r="AF13" i="1" s="1"/>
  <c r="AD12" i="1"/>
  <c r="AF12" i="1" s="1"/>
  <c r="AG12" i="1" s="1"/>
  <c r="AD11" i="1"/>
  <c r="AF11" i="1" s="1"/>
  <c r="AG11" i="1" s="1"/>
  <c r="AD10" i="1"/>
  <c r="AF10" i="1" s="1"/>
  <c r="AD9" i="1"/>
  <c r="AF9" i="1" s="1"/>
  <c r="AG9" i="1" s="1"/>
  <c r="AD8" i="1"/>
  <c r="AF8" i="1" s="1"/>
  <c r="AD7" i="1"/>
  <c r="AF7" i="1" s="1"/>
  <c r="AG7" i="1" s="1"/>
  <c r="AD6" i="1"/>
  <c r="AF6" i="1" s="1"/>
  <c r="AD5" i="1"/>
  <c r="AF5" i="1" s="1"/>
  <c r="AD4" i="1"/>
  <c r="AF4" i="1" s="1"/>
  <c r="AG4" i="1" s="1"/>
  <c r="AD3" i="1"/>
  <c r="AF3" i="1" s="1"/>
  <c r="AG3" i="1" s="1"/>
  <c r="AD35" i="1"/>
  <c r="AI25" i="1"/>
  <c r="AF45" i="1" l="1"/>
  <c r="AF69" i="1"/>
  <c r="AF52" i="1"/>
  <c r="AG52" i="1" s="1"/>
  <c r="AF67" i="1"/>
  <c r="AF41" i="1"/>
  <c r="AF35" i="1"/>
  <c r="AG90" i="1" s="1"/>
  <c r="AF40" i="1"/>
  <c r="AG40" i="1" s="1"/>
  <c r="AI26" i="1"/>
  <c r="AH26" i="1"/>
  <c r="AH25" i="1"/>
  <c r="AI17" i="1"/>
  <c r="AI16" i="1"/>
  <c r="AI15" i="1"/>
  <c r="AG91" i="1" l="1"/>
  <c r="AG89" i="1"/>
  <c r="AG88" i="1"/>
  <c r="AG85" i="1"/>
  <c r="AG83" i="1"/>
  <c r="AG81" i="1"/>
  <c r="AG79" i="1"/>
  <c r="AG76" i="1"/>
  <c r="AG77" i="1"/>
  <c r="AG73" i="1"/>
  <c r="AG70" i="1"/>
  <c r="AG71" i="1"/>
  <c r="AG67" i="1"/>
  <c r="AG66" i="1"/>
  <c r="AG69" i="1"/>
  <c r="AG68" i="1"/>
  <c r="AG62" i="1"/>
  <c r="AG63" i="1"/>
  <c r="AG5" i="1"/>
  <c r="AG35" i="1"/>
  <c r="AG41" i="1"/>
  <c r="AG57" i="1"/>
  <c r="AG55" i="1"/>
  <c r="AG56" i="1"/>
  <c r="AG51" i="1"/>
  <c r="AG50" i="1"/>
  <c r="AG58" i="1"/>
  <c r="AG49" i="1"/>
  <c r="AG59" i="1"/>
  <c r="AG45" i="1"/>
  <c r="AG43" i="1"/>
  <c r="AG44" i="1"/>
  <c r="AG31" i="1"/>
  <c r="AG42" i="1"/>
  <c r="AG27" i="1"/>
  <c r="AG26" i="1"/>
  <c r="AG24" i="1"/>
  <c r="AG23" i="1"/>
  <c r="AG19" i="1"/>
  <c r="AG18" i="1"/>
  <c r="AG15" i="1"/>
  <c r="AG14" i="1"/>
  <c r="AG13" i="1"/>
  <c r="AG10" i="1"/>
  <c r="AI47" i="1" s="1"/>
  <c r="AG8" i="1"/>
  <c r="AG6" i="1"/>
  <c r="AH47" i="1" s="1"/>
  <c r="AH58" i="1"/>
  <c r="AI58" i="1"/>
  <c r="AH57" i="1"/>
  <c r="AI57" i="1"/>
  <c r="AH54" i="1"/>
  <c r="AI54" i="1"/>
  <c r="AH56" i="1"/>
  <c r="AI56" i="1"/>
  <c r="AH48" i="1"/>
  <c r="AI48" i="1"/>
  <c r="AH59" i="1"/>
  <c r="AI59" i="1"/>
  <c r="AH50" i="1"/>
  <c r="AI50" i="1"/>
  <c r="AH46" i="1"/>
  <c r="AI46" i="1"/>
  <c r="AH41" i="1"/>
  <c r="AI41" i="1"/>
  <c r="AH39" i="1"/>
  <c r="AI39" i="1"/>
  <c r="AH49" i="1"/>
  <c r="AI49" i="1"/>
  <c r="AH45" i="1"/>
  <c r="AI45" i="1"/>
  <c r="AH37" i="1"/>
  <c r="AI37" i="1"/>
  <c r="AH40" i="1"/>
  <c r="AI40" i="1"/>
  <c r="AI35" i="1"/>
  <c r="AH35" i="1"/>
  <c r="AH43" i="1"/>
  <c r="AI43" i="1"/>
  <c r="AH34" i="1"/>
  <c r="AI34" i="1"/>
  <c r="AH32" i="1"/>
  <c r="AI32" i="1"/>
  <c r="AH20" i="1"/>
  <c r="AI30" i="1" l="1"/>
  <c r="AH30" i="1"/>
  <c r="AI20" i="1"/>
  <c r="AG92" i="1"/>
  <c r="J92" i="1" s="1"/>
  <c r="AH90" i="1"/>
  <c r="AI90" i="1"/>
  <c r="AH89" i="1"/>
  <c r="AI89" i="1"/>
  <c r="AH88" i="1"/>
  <c r="AI88" i="1"/>
  <c r="AH81" i="1"/>
  <c r="AI81" i="1"/>
  <c r="AH79" i="1"/>
  <c r="AI79" i="1"/>
  <c r="AH77" i="1"/>
  <c r="AI77" i="1"/>
  <c r="AH74" i="1"/>
  <c r="AI74" i="1"/>
  <c r="AH73" i="1"/>
  <c r="AI73" i="1"/>
  <c r="AH70" i="1"/>
  <c r="AI70" i="1"/>
  <c r="AH71" i="1"/>
  <c r="AI71" i="1"/>
  <c r="AH67" i="1"/>
  <c r="AI67" i="1"/>
  <c r="AH66" i="1"/>
  <c r="AI66" i="1"/>
  <c r="AH65" i="1"/>
  <c r="AI65" i="1"/>
  <c r="AH69" i="1"/>
  <c r="AI69" i="1"/>
  <c r="AH68" i="1"/>
  <c r="AI68" i="1"/>
  <c r="AH64" i="1"/>
  <c r="AI64" i="1"/>
  <c r="AH63" i="1"/>
  <c r="AI63" i="1"/>
  <c r="AH61" i="1"/>
  <c r="AI61" i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<sst xmlns="http://schemas.openxmlformats.org/spreadsheetml/2006/main" count="501" uniqueCount="154">
  <si>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</si>
  <si>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</si>
  <si>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</si>
  <si>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</si>
  <si>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</si>
  <si>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</si>
  <si>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</si>
  <si>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</si>
  <si>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</si>
  <si>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</si>
  <si>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</si>
  <si>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</si>
  <si>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</si>
  <si>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</si>
  <si>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</si>
  <si>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</si>
  <si>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</si>
  <si>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</si>
  <si>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</si>
  <si>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</si>
  <si>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</si>
  <si>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</si>
  <si>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</si>
  <si>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</si>
  <si>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</si>
  <si>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</si>
  <si>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</si>
  <si>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</si>
  <si>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</si>
  <si>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</si>
  <si>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</si>
  <si>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</si>
  <si>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</si>
  <si>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</si>
  <si>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</si>
  <si>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</si>
  <si>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</si>
  <si>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</si>
  <si>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</si>
  <si>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</si>
  <si>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</si>
  <si>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</si>
  <si>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</si>
  <si>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</si>
  <si>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</si>
  <si>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</si>
  <si>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</si>
  <si>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</si>
  <si>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</si>
  <si>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</si>
  <si>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</si>
  <si>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</si>
  <si>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</si>
  <si>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</si>
  <si>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</si>
  <si>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</si>
  <si>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</si>
  <si>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</si>
  <si>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</si>
  <si>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</si>
  <si>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</si>
  <si>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</si>
  <si>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</si>
  <si>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</si>
  <si>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</si>
  <si>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</si>
  <si>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</si>
  <si>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</si>
  <si>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</si>
  <si>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</si>
  <si>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</si>
  <si>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</si>
  <si>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</si>
  <si>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</si>
  <si>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</si>
  <si>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</si>
  <si>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</si>
  <si>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</si>
  <si>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</si>
  <si>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</si>
  <si>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</si>
  <si>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</si>
  <si>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</si>
  <si>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</si>
  <si>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</si>
  <si>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</si>
  <si>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</si>
  <si>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</si>
  <si>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</si>
  <si>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</si>
  <si>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</si>
  <si>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</si>
  <si>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</si>
  <si>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</si>
  <si>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</si>
  <si>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</si>
  <si>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</si>
  <si>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</si>
  <si>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</si>
  <si>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</si>
  <si>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</si>
  <si>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</si>
  <si>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</si>
  <si>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</si>
  <si>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</si>
  <si>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</si>
  <si>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</si>
  <si>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</si>
  <si>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</si>
  <si>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</si>
  <si>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</si>
  <si>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</si>
  <si>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</si>
  <si>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</si>
  <si>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</si>
  <si>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</si>
  <si>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</si>
  <si>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</si>
  <si>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</si>
  <si>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</si>
  <si>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</si>
  <si>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</si>
  <si>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</si>
  <si>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</si>
  <si>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</si>
  <si>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</si>
  <si>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</si>
  <si>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</si>
  <si>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</si>
  <si>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</si>
  <si>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</si>
  <si>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</si>
  <si>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</si>
  <si>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</si>
  <si>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</si>
  <si>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</si>
  <si>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</si>
  <si>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</si>
  <si>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</si>
  <si>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</si>
  <si>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</si>
  <si>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</si>
  <si>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</si>
  <si>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</si>
  <si>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</si>
  <si>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</si>
  <si>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</si>
  <si>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</si>
  <si>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</si>
  <si>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</si>
  <si>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</si>
  <si>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</si>
  <si>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</si>
  <si>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PETRI24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</si>
</sst>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</numFmts>
  <fonts count="14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44" fontId="3" fillId="0" borderId="0" xfId="0" applyNumberFormat="1" applyFont="1" applyAlignment="1"/>
    <xf numFmtId="169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44" fontId="3" fillId="0" borderId="0" xfId="0" applyNumberFormat="1" applyFont="1"/>
    <xf numFmtId="0" fontId="4" fillId="0" borderId="0" xfId="0" applyFont="1"/>
    <xf numFmtId="44" fontId="3" fillId="0" borderId="0" xfId="1" applyFont="1"/>
    <xf numFmtId="4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4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44" fontId="7" fillId="0" borderId="0" xfId="1" applyNumberFormat="1" applyFont="1" applyAlignment="1"/>
    <xf numFmtId="169" fontId="7" fillId="0" borderId="0" xfId="0" applyNumberFormat="1" applyFont="1" applyAlignment="1"/>
    <xf numFmtId="44" fontId="7" fillId="0" borderId="0" xfId="1" applyFont="1" applyAlignment="1"/>
    <xf numFmtId="4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4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4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4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44" fontId="8" fillId="0" borderId="0" xfId="1" applyFont="1" applyAlignment="1"/>
    <xf numFmtId="0" fontId="8" fillId="0" borderId="0" xfId="0" applyFont="1" applyBorder="1"/>
    <xf numFmtId="44" fontId="8" fillId="0" borderId="0" xfId="1" applyFont="1" applyBorder="1"/>
    <xf numFmtId="4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44" fontId="8" fillId="0" borderId="0" xfId="0" applyNumberFormat="1" applyFont="1"/>
    <xf numFmtId="1" fontId="8" fillId="0" borderId="0" xfId="1" applyNumberFormat="1" applyFont="1" applyBorder="1"/>
    <xf numFmtId="4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44" fontId="10" fillId="0" borderId="0" xfId="0" applyNumberFormat="1" applyFont="1" applyAlignment="1"/>
    <xf numFmtId="14" fontId="10" fillId="0" borderId="0" xfId="0" applyNumberFormat="1" applyFont="1" applyAlignment="1"/>
    <xf numFmtId="4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4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164" fontId="3" fillId="0" borderId="0" xfId="0" applyNumberFormat="1" applyFont="1"/>
    <xf numFmtId="4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44" fontId="11" fillId="0" borderId="0" xfId="0" applyNumberFormat="1" applyFont="1" applyAlignment="1"/>
    <xf numFmtId="14" fontId="11" fillId="0" borderId="0" xfId="0" applyNumberFormat="1" applyFont="1" applyAlignment="1"/>
    <xf numFmtId="4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44" fontId="12" fillId="0" borderId="2" xfId="0" applyNumberFormat="1" applyFont="1" applyBorder="1" applyAlignment="1"/>
    <xf numFmtId="1" fontId="11" fillId="0" borderId="0" xfId="0" applyNumberFormat="1" applyFont="1" applyAlignment="1"/>
    <xf numFmtId="44" fontId="11" fillId="0" borderId="0" xfId="1" applyFont="1" applyAlignment="1"/>
    <xf numFmtId="0" fontId="11" fillId="0" borderId="0" xfId="0" applyFont="1" applyAlignment="1"/>
    <xf numFmtId="4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4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8" dataDxfId="347" totalsRowDxfId="346">
  <autoFilter ref="A1:AJ91"/>
  <sortState ref="A2:AJ89">
    <sortCondition ref="E1:E89"/>
  </sortState>
  <tableColumns count="36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 dataCellStyle="Moeda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319" totalsRowDxfId="318">
      <calculatedColumnFormula>NC[QTDE]*NC[PREÇO]</calculatedColumnFormula>
    </tableColumn>
    <tableColumn id="9" name="VALOR LÍQUIDO DAS OPERAÇÕES" dataDxfId="317" totalsRowDxfId="316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315" totalsRowDxfId="314">
      <calculatedColumnFormula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calculatedColumnFormula>
    </tableColumn>
    <tableColumn id="11" name="EMOLUMENTOS" dataDxfId="313" totalsRowDxfId="312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311" totalsRowDxfId="310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38" name="CORR" dataDxfId="309" totalsRowDxfId="308">
      <calculatedColumnFormula>SETUP!$E$3 * IF(NC[PARCIAL] &gt; 0, NC[QTDE] / NC[PARCIAL], 1)</calculatedColumnFormula>
    </tableColumn>
    <tableColumn id="12" name="CORRETAGEM" dataDxfId="307" totalsRowDxfId="306">
      <calculatedColumnFormula>SUMPRODUCT(N(NC[DATA]=NC[[#This Row],[DATA]]),N(NC[ID]&lt;=NC[[#This Row],[ID]]), NC[CORR])</calculatedColumnFormula>
    </tableColumn>
    <tableColumn id="13" name="ISS" dataDxfId="305" totalsRowDxfId="304">
      <calculatedColumnFormula>TRUNC(NC[CORRETAGEM]*SETUP!$F$3,2)</calculatedColumnFormula>
    </tableColumn>
    <tableColumn id="15" name="OUTRAS BOVESPA" dataDxfId="303" totalsRowDxfId="302">
      <calculatedColumnFormula>ROUND(NC[CORRETAGEM]*SETUP!$G$3,2)</calculatedColumnFormula>
    </tableColumn>
    <tableColumn id="16" name="LÍQUIDO BASE" dataDxfId="301" totalsRowDxfId="300">
      <calculatedColumnFormula>NC[VALOR LÍQUIDO DAS OPERAÇÕES]-NC[TAXA DE LIQUIDAÇÃO]-NC[EMOLUMENTOS]-NC[TAXA DE REGISTRO]-NC[CORRETAGEM]-NC[ISS]-IF(NC['[D/N']]="D",    0,    NC[OUTRAS BOVESPA]) - NC[AJUSTE]</calculatedColumnFormula>
    </tableColumn>
    <tableColumn id="33" name="IRRF FONTE" dataDxfId="299" totalsRowDxfId="298">
      <calculatedColumnFormula>IF(AND(NC['[D/N']]="D",    NC[T]="CV",    NC[LÍQUIDO BASE] &gt; 0),    TRUNC(NC[LÍQUIDO BASE]*0.01, 2),    0)</calculatedColumnFormula>
    </tableColumn>
    <tableColumn id="35" name="LÍQUIDO" dataDxfId="297" totalsRowDxfId="296">
      <calculatedColumnFormula>IF(NC[PREÇO] &gt; 0,    NC[LÍQUIDO BASE]-SUMPRODUCT(N(NC[DATA]=NC[[#This Row],[DATA]]),    NC[IRRF FONTE]),    0)</calculatedColumnFormula>
    </tableColumn>
    <tableColumn id="17" name="VALOR OP" dataDxfId="295" totalsRowDxfId="294" dataCellStyle="Moeda">
      <calculatedColumnFormula>NC[LÍQUIDO]-SUMPRODUCT(N(NC[DATA]=NC[[#This Row],[DATA]]),N(NC[ID]=(NC[[#This Row],[ID]]-1)),NC[LÍQUIDO])</calculatedColumnFormula>
    </tableColumn>
    <tableColumn id="18" name="MEDIO P/ OP" dataDxfId="293" totalsRowDxfId="292">
      <calculatedColumnFormula>IF(NC[T] = "VC", ABS(NC[VALOR OP]) / NC[QTDE], NC[VALOR OP]/NC[QTDE])</calculatedColumnFormula>
    </tableColumn>
    <tableColumn id="20" name="IRRF" totalsRowFunction="sum" dataDxfId="291" totalsRowDxfId="290">
      <calculatedColumnFormula>TRUNC(IF(OR(NC[T]="CV",NC[T]="VV"),     N2*SETUP!$H$3,     0),2)</calculatedColumnFormula>
    </tableColumn>
    <tableColumn id="24" name="SALDO" dataDxfId="289" totalsRowDxfId="288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287" totalsRowDxfId="286">
      <calculatedColumnFormula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calculatedColumnFormula>
    </tableColumn>
    <tableColumn id="23" name="MED VD" dataDxfId="285" totalsRowDxfId="284">
      <calculatedColumnFormula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calculatedColumnFormula>
    </tableColumn>
    <tableColumn id="44" name="LUCRO TMP" dataDxfId="283" totalsRowDxfId="282" dataCellStyle="Moeda">
      <calculatedColumnFormula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calculatedColumnFormula>
    </tableColumn>
    <tableColumn id="25" name="LUCRO P/ OP" totalsRowFunction="sum" dataDxfId="281" totalsRowDxfId="280">
      <calculatedColumnFormula>IF(NC[LUCRO TMP] &lt;&gt; 0, NC[LUCRO TMP] - SUMPRODUCT(N(NC[ATIVO]=NC[[#This Row],[ATIVO]]),N(NC['[D/N']]="N"),N(NC[ID]&lt;NC[[#This Row],[ID]]),N(NC[PAR]=NC[[#This Row],[PAR]]), NC[LUCRO TMP]), 0)</calculatedColumnFormula>
    </tableColumn>
    <tableColumn id="1" name="LUCRO [N]" dataDxfId="279" totalsRowDxfId="278">
      <calculatedColumnFormula>IF(NC[U] = "U", SUMPRODUCT(N(NC[ID]&lt;=NC[[#This Row],[ID]]),N(NC[DATA BASE]=NC[[#This Row],[DATA BASE]]), N(NC['[D/N']] = "N"),    NC[LUCRO P/ OP]), 0)</calculatedColumnFormula>
    </tableColumn>
    <tableColumn id="39" name="LUCRO [D]" dataDxfId="277" totalsRowDxfId="276">
      <calculatedColumnFormula>IF(NC[U] = "U", SUMPRODUCT(N(NC[DATA BASE]=NC[[#This Row],[DATA BASE]]), N(NC['[D/N']] = "D"),    NC[LUCRO P/ OP]), 0)</calculatedColumnFormula>
    </tableColumn>
    <tableColumn id="30" name="IRRF DT" dataDxfId="275" totalsRowDxfId="274">
      <calculatedColumnFormula>IF(NC[U] = "U", SUMPRODUCT(N(NC[DATA BASE]=NC[[#This Row],[DATA BASE]]), N(NC['[D/N']] = "D"),    NC[IRRF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" totalsRowCount="1" headerRowDxfId="273" dataDxfId="272" totalsRowDxfId="271">
  <autoFilter ref="A1:AK5"/>
  <sortState ref="A2:AJ89">
    <sortCondition ref="E1:E89"/>
  </sortState>
  <tableColumns count="37">
    <tableColumn id="19" name="ID" totalsRowFunction="max" dataDxfId="270" totalsRowDxfId="36"/>
    <tableColumn id="36" name="U" dataDxfId="269" totalsRowDxfId="35"/>
    <tableColumn id="2" name="ATIVO" dataDxfId="268" totalsRowDxfId="34"/>
    <tableColumn id="3" name="T" dataDxfId="267" totalsRowDxfId="33"/>
    <tableColumn id="4" name="DATA" dataDxfId="266" totalsRowDxfId="32"/>
    <tableColumn id="5" name="QTDE" dataDxfId="265" totalsRowDxfId="31"/>
    <tableColumn id="6" name="PREÇO" dataDxfId="264" totalsRowDxfId="30"/>
    <tableColumn id="37" name="PARCIAL" dataDxfId="263" totalsRowDxfId="29"/>
    <tableColumn id="40" name="AJUSTE" dataDxfId="262" totalsRowDxfId="28" dataCellStyle="Moeda"/>
    <tableColumn id="7" name="[D/N]" dataDxfId="261" totalsRowDxfId="27"/>
    <tableColumn id="34" name="DATA DE LIQUIDAÇÃO" dataDxfId="260" totalsRowDxfId="26">
      <calculatedColumnFormula>WORKDAY(NOTAS_80[[#This Row],[DATA]],1,0)</calculatedColumnFormula>
    </tableColumn>
    <tableColumn id="31" name="DATA BASE" dataDxfId="259" totalsRowDxfId="25">
      <calculatedColumnFormula>EOMONTH(NOTAS_80[[#This Row],[DATA DE LIQUIDAÇÃO]],0)</calculatedColumnFormula>
    </tableColumn>
    <tableColumn id="21" name="PAR" dataDxfId="258" totalsRowDxfId="24">
      <calculatedColumnFormula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calculatedColumnFormula>
    </tableColumn>
    <tableColumn id="8" name="VALOR DAS OPERAÇÕES" dataDxfId="257" totalsRowDxfId="23">
      <calculatedColumnFormula>NOTAS_80[QTDE]*NOTAS_80[PREÇO]</calculatedColumnFormula>
    </tableColumn>
    <tableColumn id="9" name="VALOR LÍQUIDO DAS OPERAÇÕES" dataDxfId="256" totalsRowDxfId="22">
      <calculatedColumnFormula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calculatedColumnFormula>
    </tableColumn>
    <tableColumn id="10" name="TAXA DE LIQUIDAÇÃO" dataDxfId="255" totalsRowDxfId="21">
      <calculatedColumnFormula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calculatedColumnFormula>
    </tableColumn>
    <tableColumn id="11" name="EMOLUMENTOS" dataDxfId="254" totalsRowDxfId="20">
      <calculatedColumnFormula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calculatedColumnFormula>
    </tableColumn>
    <tableColumn id="28" name="TAXA DE REGISTRO" dataDxfId="253" totalsRowDxfId="19">
      <calculatedColumnFormula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calculatedColumnFormula>
    </tableColumn>
    <tableColumn id="14" name="CORR BOV" dataDxfId="252" totalsRowDxfId="18">
      <calculatedColumnFormula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calculatedColumnFormula>
    </tableColumn>
    <tableColumn id="38" name="CORR" dataDxfId="251" totalsRowDxfId="17">
      <calculatedColumnFormula>TRUNC(NOTAS_80[CORR BOV] * 20% * IF(NOTAS_80[PARCIAL] &gt; 0, NOTAS_80[QTDE] / NOTAS_80[PARCIAL], 1),2)</calculatedColumnFormula>
    </tableColumn>
    <tableColumn id="12" name="CORRETAGEM" dataDxfId="250" totalsRowDxfId="16">
      <calculatedColumnFormula>SUMPRODUCT(N(NOTAS_80[DATA]=NOTAS_80[[#This Row],[DATA]]),N(NOTAS_80[ID]&lt;=NOTAS_80[[#This Row],[ID]]), NOTAS_80[CORR])</calculatedColumnFormula>
    </tableColumn>
    <tableColumn id="13" name="ISS" dataDxfId="249" totalsRowDxfId="15">
      <calculatedColumnFormula>TRUNC(NOTAS_80[CORRETAGEM]*SETUP!$F$3,2)</calculatedColumnFormula>
    </tableColumn>
    <tableColumn id="15" name="OUTRAS BOVESPA" dataDxfId="248" totalsRowDxfId="14">
      <calculatedColumnFormula>ROUND(NOTAS_80[CORRETAGEM]*SETUP!$G$3,2)</calculatedColumnFormula>
    </tableColumn>
    <tableColumn id="16" name="LÍQUIDO BASE" dataDxfId="247" totalsRowDxfId="13">
      <calculatedColumnFormula>NOTAS_80[VALOR LÍQUIDO DAS OPERAÇÕES]-NOTAS_80[TAXA DE LIQUIDAÇÃO]-NOTAS_80[EMOLUMENTOS]-NOTAS_80[TAXA DE REGISTRO]-NOTAS_80[CORRETAGEM]-NOTAS_80[ISS]-IF(NOTAS_80['[D/N']]="D",    0,    NOTAS_80[OUTRAS BOVESPA]) - NOTAS_80[AJUSTE]</calculatedColumnFormula>
    </tableColumn>
    <tableColumn id="33" name="IRRF FONTE" dataDxfId="246" totalsRowDxfId="12">
      <calculatedColumnFormula>IF(AND(NOTAS_80['[D/N']]="D",    NOTAS_80[T]="CV",    NOTAS_80[LÍQUIDO BASE] &gt; 0),    TRUNC(NOTAS_80[LÍQUIDO BASE]*0.01, 2),    0)</calculatedColumnFormula>
    </tableColumn>
    <tableColumn id="35" name="LÍQUIDO" dataDxfId="245" totalsRowDxfId="11">
      <calculatedColumnFormula>IF(NOTAS_80[PREÇO] &gt; 0,    NOTAS_80[LÍQUIDO BASE]-SUMPRODUCT(N(NOTAS_80[DATA]=NOTAS_80[[#This Row],[DATA]]),    NOTAS_80[IRRF FONTE]),    0)</calculatedColumnFormula>
    </tableColumn>
    <tableColumn id="17" name="VALOR OP" dataDxfId="244" totalsRowDxfId="10" dataCellStyle="Moeda">
      <calculatedColumnFormula>NOTAS_80[LÍQUIDO]-SUMPRODUCT(N(NOTAS_80[DATA]=NOTAS_80[[#This Row],[DATA]]),N(NOTAS_80[ID]=(NOTAS_80[[#This Row],[ID]]-1)),NOTAS_80[LÍQUIDO])</calculatedColumnFormula>
    </tableColumn>
    <tableColumn id="18" name="MEDIO P/ OP" dataDxfId="243" totalsRowDxfId="9">
      <calculatedColumnFormula>IF(NOTAS_80[T] = "VC", ABS(NOTAS_80[VALOR OP]) / NOTAS_80[QTDE], NOTAS_80[VALOR OP]/NOTAS_80[QTDE])</calculatedColumnFormula>
    </tableColumn>
    <tableColumn id="20" name="IRRF" totalsRowFunction="sum" dataDxfId="242" totalsRowDxfId="8">
      <calculatedColumnFormula>TRUNC(IF(OR(NOTAS_80[T]="CV",NOTAS_80[T]="VV"),     N2*SETUP!$H$3,     0),2)</calculatedColumnFormula>
    </tableColumn>
    <tableColumn id="24" name="SALDO" dataDxfId="241" totalsRowDxfId="7">
      <calculatedColumnFormula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calculatedColumnFormula>
    </tableColumn>
    <tableColumn id="22" name="MED CP" dataDxfId="240" totalsRowDxfId="6">
      <calculatedColumnFormula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calculatedColumnFormula>
    </tableColumn>
    <tableColumn id="23" name="MED VD" dataDxfId="239" totalsRowDxfId="5">
      <calculatedColumnFormula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calculatedColumnFormula>
    </tableColumn>
    <tableColumn id="44" name="LUCRO TMP" dataDxfId="238" totalsRowDxfId="4" dataCellStyle="Moeda">
      <calculatedColumnFormula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calculatedColumnFormula>
    </tableColumn>
    <tableColumn id="25" name="LUCRO P/ OP" totalsRowFunction="sum" dataDxfId="237" totalsRowDxfId="3">
      <calculatedColumnFormula>IF(NOTAS_80[LUCRO TMP] &lt;&gt; 0, NOTAS_80[LUCRO TMP] - SUMPRODUCT(N(NOTAS_80[ATIVO]=NOTAS_80[[#This Row],[ATIVO]]),N(NOTAS_80['[D/N']]="N"),N(NOTAS_80[ID]&lt;NOTAS_80[[#This Row],[ID]]),N(NOTAS_80[PAR]=NOTAS_80[[#This Row],[PAR]]), NOTAS_80[LUCRO TMP]), 0)</calculatedColumnFormula>
    </tableColumn>
    <tableColumn id="1" name="LUCRO [N]" dataDxfId="236" totalsRowDxfId="2">
      <calculatedColumnFormula>IF(NOTAS_80[U] = "U", SUMPRODUCT(N(NOTAS_80[ID]&lt;=NOTAS_80[[#This Row],[ID]]),N(NOTAS_80[DATA BASE]=NOTAS_80[[#This Row],[DATA BASE]]), N(NOTAS_80['[D/N']] = "N"),    NOTAS_80[LUCRO P/ OP]), 0)</calculatedColumnFormula>
    </tableColumn>
    <tableColumn id="39" name="LUCRO [D]" dataDxfId="235" totalsRowDxfId="1">
      <calculatedColumnFormula>IF(NOTAS_80[U] = "U", SUMPRODUCT(N(NOTAS_80[DATA BASE]=NOTAS_80[[#This Row],[DATA BASE]]), N(NOTAS_80['[D/N']] = "D"),    NOTAS_80[LUCRO P/ OP]), 0)</calculatedColumnFormula>
    </tableColumn>
    <tableColumn id="30" name="IRRF DT" dataDxfId="234" totalsRowDxfId="0">
      <calculatedColumnFormula>IF(NOTAS_80[U] = "U", SUMPRODUCT(N(NOTAS_80[DATA BASE]=NOTAS_80[[#This Row],[DATA BASE]]), N(NOTAS_80['[D/N']] = "D"),    NOTAS_80[IRRF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3" dataDxfId="232">
  <autoFilter ref="A1:N5"/>
  <tableColumns count="14">
    <tableColumn id="1" name="DATA" totalsRowLabel="Total" dataDxfId="231" totalsRowDxfId="230"/>
    <tableColumn id="2" name="LUCRO [N]" dataDxfId="229" totalsRowDxfId="228" dataCellStyle="Moeda"/>
    <tableColumn id="3" name="DEDUÇÃO [N]" dataDxfId="227" totalsRowDxfId="226" dataCellStyle="Moeda"/>
    <tableColumn id="8" name="IRRF [N]" dataDxfId="225" totalsRowDxfId="224" dataCellStyle="Moeda"/>
    <tableColumn id="4" name="LUCRO [D]" dataDxfId="223" totalsRowDxfId="222" dataCellStyle="Moeda"/>
    <tableColumn id="5" name="DEDUÇÃO [D]" dataDxfId="221" totalsRowDxfId="220" dataCellStyle="Moeda"/>
    <tableColumn id="9" name="IRRF [D]" dataDxfId="219" totalsRowDxfId="218" dataCellStyle="Moeda"/>
    <tableColumn id="6" name="ACC [N]" dataDxfId="217" totalsRowDxfId="216" dataCellStyle="Moeda">
      <calculatedColumnFormula>IF(Tabela7[LUCRO '[N']] + Tabela7[DEDUÇÃO '[N']] &gt; 0, 0, Tabela7[LUCRO '[N']] + Tabela7[DEDUÇÃO '[N']])</calculatedColumnFormula>
    </tableColumn>
    <tableColumn id="12" name="ACC [D]" dataDxfId="215" totalsRowDxfId="214" dataCellStyle="Moeda">
      <calculatedColumnFormula>IF(Tabela7[LUCRO '[D']] + Tabela7[DEDUÇÃO '[D']] &gt; 0, 0, Tabela7[LUCRO '[D']] + Tabela7[DEDUÇÃO '[D']])</calculatedColumnFormula>
    </tableColumn>
    <tableColumn id="7" name="IR DEVIDO [N]" dataDxfId="213" totalsRowDxfId="212" dataCellStyle="Moeda">
      <calculatedColumnFormula>IF(Tabela7[ACC '[N']] = 0, ROUND((Tabela7[LUCRO '[N']] + Tabela7[DEDUÇÃO '[N']]) * 15%, 2) - Tabela7[IRRF '[N']], 0)</calculatedColumnFormula>
    </tableColumn>
    <tableColumn id="10" name="IR DEVIDO [D]" dataDxfId="211" totalsRowDxfId="210" dataCellStyle="Moeda">
      <calculatedColumnFormula>IF(Tabela7[ACC '[D']] = 0, ROUND((Tabela7[LUCRO '[D']] + Tabela7[DEDUÇÃO '[D']]) * 20%, 2) - Tabela7[IRRF '[D']], 0)</calculatedColumnFormula>
    </tableColumn>
    <tableColumn id="14" name="IRRF" dataDxfId="209" totalsRowDxfId="208" dataCellStyle="Moeda">
      <calculatedColumnFormula>Tabela7[IRRF '[N']] + Tabela7[IRRF '[D']]</calculatedColumnFormula>
    </tableColumn>
    <tableColumn id="11" name="IR DEVIDO" dataDxfId="207" totalsRowDxfId="206" dataCellStyle="Moeda">
      <calculatedColumnFormula>Tabela7[IR DEVIDO '[N']] + Tabela7[IR DEVIDO '[D']]</calculatedColumnFormula>
    </tableColumn>
    <tableColumn id="13" name="LUCRO TOTAL" totalsRowFunction="sum" dataDxfId="205" totalsRowDxfId="204" dataCellStyle="Moeda">
      <calculatedColumnFormula>Tabela7[LUCRO '[N']] + Tabela7[LUCRO '[D']] - Tabela7[IR DEVIDO] - Tabela7[IRRF '[N']] - Tabela7[IRRF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03" dataDxfId="202">
  <autoFilter ref="A1:K4"/>
  <tableColumns count="11">
    <tableColumn id="1" name="PAPEL" totalsRowLabel="Total" dataDxfId="201" totalsRowDxfId="200"/>
    <tableColumn id="10" name="APLICAÇÃO" dataDxfId="199" totalsRowDxfId="198" dataCellStyle="Moeda"/>
    <tableColumn id="2" name="EXERCÍCIO" dataDxfId="197" totalsRowDxfId="196" dataCellStyle="Moeda"/>
    <tableColumn id="3" name="PREÇO OPÇÃO" dataDxfId="195" totalsRowDxfId="194" dataCellStyle="Moeda"/>
    <tableColumn id="4" name="PREÇO AÇÃO" dataDxfId="193" totalsRowDxfId="192" dataCellStyle="Moeda"/>
    <tableColumn id="11" name="QTDE TMP" dataDxfId="191" totalsRowDxfId="190" dataCellStyle="Moeda">
      <calculatedColumnFormula>ROUNDDOWN(Tabela2[APLICAÇÃO]/Tabela2[PREÇO OPÇÃO], 0)</calculatedColumnFormula>
    </tableColumn>
    <tableColumn id="14" name="QTDE" dataDxfId="189" totalsRowDxfId="188" dataCellStyle="Moeda">
      <calculatedColumnFormula>Tabela2[QTDE TMP] - MOD(Tabela2[QTDE TMP], 100)</calculatedColumnFormula>
    </tableColumn>
    <tableColumn id="5" name="TARGET 100%" dataDxfId="187" totalsRowDxfId="186" dataCellStyle="Moeda">
      <calculatedColumnFormula>Tabela2[EXERCÍCIO] + (Tabela2[PREÇO OPÇÃO] * 2)</calculatedColumnFormula>
    </tableColumn>
    <tableColumn id="6" name="ALTA 100%" dataDxfId="185" totalsRowDxfId="184" dataCellStyle="Porcentagem">
      <calculatedColumnFormula>Tabela2[TARGET 100%] / Tabela2[PREÇO AÇÃO] - 1</calculatedColumnFormula>
    </tableColumn>
    <tableColumn id="12" name="LUCRO* 100%" dataDxfId="183" totalsRowDxfId="182" dataCellStyle="Moeda">
      <calculatedColumnFormula>Tabela2[PREÇO OPÇÃO] * Tabela2[QTDE] - 30</calculatedColumnFormula>
    </tableColumn>
    <tableColumn id="7" name="GORDURA" dataDxfId="181" totalsRowDxfId="180">
      <calculatedColumnFormula>IF(Tabela2[PREÇO AÇÃO] &gt; Tabela2[EXERCÍCIO], Tabela2[PREÇO OPÇÃO] -(Tabela2[PREÇO AÇÃO] - Tabela2[EXERCÍCIO]), Tabela2[PREÇO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79" dataDxfId="178">
  <autoFilter ref="A1:P4"/>
  <tableColumns count="16">
    <tableColumn id="1" name="PAPEL" totalsRowLabel="Total" dataDxfId="177" totalsRowDxfId="176"/>
    <tableColumn id="10" name="RISCO" dataDxfId="175" totalsRowDxfId="174" dataCellStyle="Moeda"/>
    <tableColumn id="20" name="PREÇO AÇÃO" dataDxfId="173" totalsRowDxfId="172" dataCellStyle="Moeda"/>
    <tableColumn id="7" name="EXERC. VENDA" dataDxfId="171" totalsRowDxfId="170" dataCellStyle="Moeda"/>
    <tableColumn id="8" name="PREÇO VENDA" dataDxfId="169" totalsRowDxfId="168" dataCellStyle="Moeda"/>
    <tableColumn id="2" name="EXERC. COMPRA" dataDxfId="167" totalsRowDxfId="166" dataCellStyle="Moeda"/>
    <tableColumn id="3" name="PREÇO COMPRA" dataDxfId="165" totalsRowDxfId="164" dataCellStyle="Moeda"/>
    <tableColumn id="4" name="VOLUME" dataDxfId="163" totalsRowDxfId="162" dataCellStyle="Moeda">
      <calculatedColumnFormula>(Tabela24[QTDE] * Tabela24[PREÇO COMPRA]) + (Tabela24[QTDE] * Tabela24[PREÇO VENDA])</calculatedColumnFormula>
    </tableColumn>
    <tableColumn id="18" name="LUCRO P/ OPÇÃO" dataDxfId="161" totalsRowDxfId="160" dataCellStyle="Moeda">
      <calculatedColumnFormula>Tabela24[PREÇO VENDA]-Tabela24[PREÇO COMPRA]</calculatedColumnFormula>
    </tableColumn>
    <tableColumn id="19" name="PERDA P/ OPÇÃO" dataDxfId="159" totalsRowDxfId="158" dataCellStyle="Moeda">
      <calculatedColumnFormula>(0.01 - Tabela24[PREÇO COMPRA]) + (Tabela24[PREÇO VENDA] - (Tabela24[EXERC. COMPRA]-Tabela24[EXERC. VENDA]+0.01))</calculatedColumnFormula>
    </tableColumn>
    <tableColumn id="11" name="QTDE TMP" dataDxfId="157" totalsRowDxfId="156" dataCellStyle="Moeda">
      <calculatedColumnFormula>ROUNDDOWN(Tabela24[RISCO]/ABS(Tabela24[PERDA P/ OPÇÃO]), 0)</calculatedColumnFormula>
    </tableColumn>
    <tableColumn id="14" name="QTDE" dataDxfId="155" totalsRowDxfId="154" dataCellStyle="Moeda">
      <calculatedColumnFormula>Tabela24[QTDE TMP] - MOD(Tabela24[QTDE TMP], 100)</calculatedColumnFormula>
    </tableColumn>
    <tableColumn id="5" name="LUCRO*" dataDxfId="153" totalsRowDxfId="152" dataCellStyle="Moeda">
      <calculatedColumnFormula>(Tabela24[QTDE]*Tabela24[LUCRO P/ OPÇÃO]) - 60</calculatedColumnFormula>
    </tableColumn>
    <tableColumn id="6" name="PERDA*" dataDxfId="151" totalsRowDxfId="150" dataCellStyle="Moeda">
      <calculatedColumnFormula>Tabela24[QTDE]*Tabela24[PERDA P/ OPÇÃO] - 60</calculatedColumnFormula>
    </tableColumn>
    <tableColumn id="21" name="% QUEDA" dataDxfId="149" totalsRowDxfId="148" dataCellStyle="Porcentagem">
      <calculatedColumnFormula>Tabela24[EXERC. VENDA]/Tabela24[PREÇO AÇÃO]-1</calculatedColumnFormula>
    </tableColumn>
    <tableColumn id="22" name="RISCO : 1" dataDxfId="147" totalsRowDxfId="146" dataCellStyle="Porcentagem">
      <calculatedColumnFormula>Tabela24[LUCRO*]/ABS(Tabela24[PERDA*])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V3" totalsRowCount="1" headerRowDxfId="145" dataDxfId="144">
  <autoFilter ref="A1:V2"/>
  <tableColumns count="22">
    <tableColumn id="1" name="PAPEL" totalsRowLabel="Total" dataDxfId="143" totalsRowDxfId="142"/>
    <tableColumn id="10" name="BASE" dataDxfId="141" totalsRowDxfId="140" dataCellStyle="Moeda"/>
    <tableColumn id="20" name="PR. AÇÃO" dataDxfId="139" totalsRowDxfId="138" dataCellStyle="Moeda"/>
    <tableColumn id="2" name="EX. CP 1" dataDxfId="137" totalsRowDxfId="136" dataCellStyle="Moeda"/>
    <tableColumn id="3" name="PR CP 1" dataDxfId="135" totalsRowDxfId="134" dataCellStyle="Moeda"/>
    <tableColumn id="12" name="EX. VD" dataDxfId="133" totalsRowDxfId="132" dataCellStyle="Moeda"/>
    <tableColumn id="13" name="PR VD" dataDxfId="131" totalsRowDxfId="130" dataCellStyle="Moeda"/>
    <tableColumn id="8" name="EX. CP 2" dataDxfId="129" totalsRowDxfId="128" dataCellStyle="Moeda"/>
    <tableColumn id="7" name="PR CP 2" dataDxfId="127" totalsRowDxfId="126" dataCellStyle="Moeda"/>
    <tableColumn id="18" name="LUCRO UNI." dataDxfId="125" totalsRowDxfId="124" dataCellStyle="Moeda">
      <calculatedColumnFormula>((Tabela245[PR VD] - 0.01) * 2) + ((Tabela245[EX. VD] - Tabela245[EX. CP 1] + 0.01) - Tabela245[PR CP 1]) + (0.01 - Tabela245[PR CP 2])</calculatedColumnFormula>
    </tableColumn>
    <tableColumn id="19" name="PERDA 1" dataDxfId="123" totalsRowDxfId="122" dataCellStyle="Moeda">
      <calculatedColumnFormula>(0.01 - Tabela245[PR CP 1]) + ((Tabela245[PR VD] - 0.01) * 2) + (0.01 - Tabela245[PR CP 2])</calculatedColumnFormula>
    </tableColumn>
    <tableColumn id="15" name="PERDA 2" dataDxfId="121" totalsRowDxfId="120" dataCellStyle="Moeda">
      <calculatedColumnFormula>((Tabela245[EX. CP 2] - Tabela245[EX. CP 1] + 0.01) - Tabela245[PR CP 1]) + ((Tabela245[PR VD] - (Tabela245[EX. CP 2] - Tabela245[EX. VD] + 0.01)) * 2) + (0.01 - Tabela245[PR CP 2])</calculatedColumnFormula>
    </tableColumn>
    <tableColumn id="16" name="PERDA" dataDxfId="119" totalsRowDxfId="118" dataCellStyle="Moeda">
      <calculatedColumnFormula>IF(Tabela245[PERDA 1] &gt; Tabela245[PERDA 2], Tabela245[PERDA 2], Tabela245[PERDA 1])</calculatedColumnFormula>
    </tableColumn>
    <tableColumn id="11" name="QTDE TMP" dataDxfId="117" totalsRowDxfId="116" dataCellStyle="Moeda">
      <calculatedColumnFormula>ROUNDDOWN(Tabela245[BASE]/ABS(Tabela245[PERDA]), 0)</calculatedColumnFormula>
    </tableColumn>
    <tableColumn id="14" name="QTDE" dataDxfId="115" totalsRowDxfId="114" dataCellStyle="Moeda">
      <calculatedColumnFormula>Tabela245[QTDE TMP] - MOD(Tabela245[QTDE TMP], 100)</calculatedColumnFormula>
    </tableColumn>
    <tableColumn id="4" name="QTDE VD" dataDxfId="113" totalsRowDxfId="112" dataCellStyle="Moeda">
      <calculatedColumnFormula>Tabela245[[#This Row],[QTDE]]*2</calculatedColumnFormula>
    </tableColumn>
    <tableColumn id="17" name="TOT.  CP" dataDxfId="111" totalsRowDxfId="110" dataCellStyle="Moeda">
      <calculatedColumnFormula>(Tabela245[QTDE]*Tabela245[PR CP 1] + Tabela245[QTDE]*Tabela245[PR CP 2])</calculatedColumnFormula>
    </tableColumn>
    <tableColumn id="9" name="T. VD" dataDxfId="109" totalsRowDxfId="108" dataCellStyle="Moeda">
      <calculatedColumnFormula>Tabela245[QTDE]*Tabela245[PR VD] * 2</calculatedColumnFormula>
    </tableColumn>
    <tableColumn id="5" name="LUCRO*" dataDxfId="107" totalsRowDxfId="106" dataCellStyle="Moeda">
      <calculatedColumnFormula>(Tabela245[QTDE]*Tabela245[LUCRO UNI.] - 90)</calculatedColumnFormula>
    </tableColumn>
    <tableColumn id="6" name="PERDA*" dataDxfId="105" totalsRowDxfId="104" dataCellStyle="Moeda">
      <calculatedColumnFormula>Tabela245[QTDE]*Tabela245[PERDA] - 90</calculatedColumnFormula>
    </tableColumn>
    <tableColumn id="21" name="% VAR" dataDxfId="103" totalsRowDxfId="102" dataCellStyle="Porcentagem">
      <calculatedColumnFormula>Tabela245[EX. VD] / Tabela245[PR. AÇÃO] - 1</calculatedColumnFormula>
    </tableColumn>
    <tableColumn id="22" name="RISCO : 1" dataDxfId="101" totalsRowDxfId="100" dataCellStyle="Porcentagem">
      <calculatedColumnFormula>Tabela245[LUCRO*]/ABS(Tabela245[PERDA*])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99" dataDxfId="98">
  <autoFilter ref="A1:O5"/>
  <tableColumns count="15">
    <tableColumn id="1" name="PAPEL" totalsRowLabel="Total" dataDxfId="97" totalsRowDxfId="96"/>
    <tableColumn id="10" name="RISCO" dataDxfId="95" totalsRowDxfId="94" dataCellStyle="Moeda"/>
    <tableColumn id="20" name="PREÇO AÇÃO" dataDxfId="93" totalsRowDxfId="92" dataCellStyle="Moeda"/>
    <tableColumn id="7" name="EX. VENDA" dataDxfId="91" totalsRowDxfId="90" dataCellStyle="Moeda"/>
    <tableColumn id="2" name="EX. COMPRA" dataDxfId="89" totalsRowDxfId="88" dataCellStyle="Moeda"/>
    <tableColumn id="3" name="PR COMPRA" dataDxfId="87" totalsRowDxfId="86" dataCellStyle="Moeda"/>
    <tableColumn id="16" name="QTDE" dataDxfId="85" totalsRowDxfId="84" dataCellStyle="Moeda"/>
    <tableColumn id="13" name="PERDA P/ OPÇÃO" dataDxfId="83" totalsRowDxfId="82" dataCellStyle="Moeda">
      <calculatedColumnFormula>-Tabela246[RISCO]/Tabela246[QTDE]</calculatedColumnFormula>
    </tableColumn>
    <tableColumn id="14" name="CUSTO CP" dataDxfId="81" totalsRowDxfId="80" dataCellStyle="Moeda">
      <calculatedColumnFormula>Tabela246[PR COMPRA] * Tabela246[QTDE]</calculatedColumnFormula>
    </tableColumn>
    <tableColumn id="15" name="LUCRO UNI" dataDxfId="79" totalsRowDxfId="78">
      <calculatedColumnFormula>Tabela246[PR VENDA]-Tabela246[PR COMPRA]</calculatedColumnFormula>
    </tableColumn>
    <tableColumn id="8" name="PR VENDA" dataDxfId="77" totalsRowDxfId="76" dataCellStyle="Moeda">
      <calculatedColumnFormula>Tabela246[PERDA P/ OPÇÃO] + (Tabela246[EX. COMPRA] - Tabela246[EX. VENDA] + 0.01) - 0.01 + Tabela246[PR COMPRA]</calculatedColumnFormula>
    </tableColumn>
    <tableColumn id="5" name="LUCRO*" dataDxfId="75" totalsRowDxfId="74" dataCellStyle="Moeda">
      <calculatedColumnFormula>(Tabela246[QTDE]*Tabela246[LUCRO UNI])</calculatedColumnFormula>
    </tableColumn>
    <tableColumn id="6" name="PERDA*" dataDxfId="73" totalsRowDxfId="72" dataCellStyle="Moeda">
      <calculatedColumnFormula>Tabela246[PERDA P/ OPÇÃO]*Tabela246[QTDE]</calculatedColumnFormula>
    </tableColumn>
    <tableColumn id="21" name="% QUEDA" dataDxfId="71" totalsRowDxfId="70" dataCellStyle="Porcentagem">
      <calculatedColumnFormula>Tabela246[EX. VENDA]/Tabela246[PREÇO AÇÃO]-1</calculatedColumnFormula>
    </tableColumn>
    <tableColumn id="22" name="RISCO : 1" dataDxfId="69" totalsRowDxfId="68" dataCellStyle="Porcentagem">
      <calculatedColumnFormula>Tabela246[LUCRO*]/ABS(Tabela246[PERDA*])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67" dataDxfId="66">
  <autoFilter ref="A1:O5"/>
  <tableColumns count="15">
    <tableColumn id="1" name="PAPEL" totalsRowLabel="Total" dataDxfId="65" totalsRowDxfId="64"/>
    <tableColumn id="10" name="RISCO" dataDxfId="63" totalsRowDxfId="62" dataCellStyle="Moeda"/>
    <tableColumn id="20" name="PREÇO AÇÃO" dataDxfId="61" totalsRowDxfId="60" dataCellStyle="Moeda"/>
    <tableColumn id="7" name="EX. VENDA" dataDxfId="59" totalsRowDxfId="58" dataCellStyle="Moeda"/>
    <tableColumn id="2" name="EX. COMPRA" dataDxfId="57" totalsRowDxfId="56" dataCellStyle="Moeda"/>
    <tableColumn id="9" name="PR VENDA" totalsRowDxfId="55"/>
    <tableColumn id="3" name="PR COMPRA" dataDxfId="54" totalsRowDxfId="53" dataCellStyle="Moeda"/>
    <tableColumn id="16" name="QTDE" dataDxfId="52" totalsRowDxfId="51" dataCellStyle="Moeda"/>
    <tableColumn id="13" name="PERDA P/ OPÇÃO" dataDxfId="50" totalsRowDxfId="49" dataCellStyle="Moeda">
      <calculatedColumnFormula>(Tabela2467[PR VENDA] - (Tabela2467[EX. COMPRA] - Tabela2467[EX. VENDA] + 0.01)) + (0.01 - (Tabela2467[PR COMPRA]))</calculatedColumnFormula>
    </tableColumn>
    <tableColumn id="14" name="VOLUME" dataDxfId="48" totalsRowDxfId="47" dataCellStyle="Moeda">
      <calculatedColumnFormula>Tabela2467[PR COMPRA] * Tabela2467[QTDE]</calculatedColumnFormula>
    </tableColumn>
    <tableColumn id="15" name="LUCRO UNI" dataDxfId="46" totalsRowDxfId="45">
      <calculatedColumnFormula>Tabela2467[PR VENDA]-Tabela2467[PR COMPRA]</calculatedColumnFormula>
    </tableColumn>
    <tableColumn id="5" name="LUCRO*" dataDxfId="44" totalsRowDxfId="43" dataCellStyle="Moeda">
      <calculatedColumnFormula>(Tabela2467[QTDE]*Tabela2467[LUCRO UNI])</calculatedColumnFormula>
    </tableColumn>
    <tableColumn id="6" name="PERDA*" dataDxfId="42" totalsRowDxfId="41" dataCellStyle="Moeda">
      <calculatedColumnFormula>Tabela2467[PERDA P/ OPÇÃO]*Tabela2467[QTDE]</calculatedColumnFormula>
    </tableColumn>
    <tableColumn id="21" name="% QUEDA" dataDxfId="40" totalsRowDxfId="39" dataCellStyle="Porcentagem">
      <calculatedColumnFormula>Tabela2467[EX. VENDA]/Tabela2467[PREÇO AÇÃO]-1</calculatedColumnFormula>
    </tableColumn>
    <tableColumn id="22" name="RISCO : 1" dataDxfId="38" totalsRowDxfId="37" dataCellStyle="Porcentagem">
      <calculatedColumnFormula>Tabela2467[LUCRO*]/ABS(Tabela2467[PERDA*])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J93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sqref="A1:XFD1048576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 x14ac:dyDescent="0.2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 x14ac:dyDescent="0.2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" s="15">
        <f>NC[QTDE]*NC[PREÇO]</f>
        <v>168.00000000000003</v>
      </c>
      <c r="O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P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2" s="15">
        <f>SETUP!$E$3 * IF(NC[PARCIAL] &gt; 0, NC[QTDE] / NC[PARCIAL], 1)</f>
        <v>14.9</v>
      </c>
      <c r="T2" s="15">
        <f>SUMPRODUCT(N(NC[DATA]=NC[[#This Row],[DATA]]),N(NC[ID]&lt;=NC[[#This Row],[ID]]), NC[CORR])</f>
        <v>14.9</v>
      </c>
      <c r="U2" s="15">
        <f>TRUNC(NC[CORRETAGEM]*SETUP!$F$3,2)</f>
        <v>0.28999999999999998</v>
      </c>
      <c r="V2" s="15">
        <f>ROUND(NC[CORRETAGEM]*SETUP!$G$3,2)</f>
        <v>0.57999999999999996</v>
      </c>
      <c r="W2" s="15">
        <f>NC[VALOR LÍQUIDO DAS OPERAÇÕES]-NC[TAXA DE LIQUIDAÇÃO]-NC[EMOLUMENTOS]-NC[TAXA DE REGISTRO]-NC[CORRETAGEM]-NC[ISS]-IF(NC['[D/N']]="D",    0,    NC[OUTRAS BOVESPA]) - NC[AJUSTE]</f>
        <v>-183.98000000000005</v>
      </c>
      <c r="X2" s="15">
        <f>IF(AND(NC['[D/N']]="D",    NC[T]="CV",    NC[LÍQUIDO BASE] &gt; 0),    TRUNC(NC[LÍQUIDO BASE]*0.01, 2),    0)</f>
        <v>0</v>
      </c>
      <c r="Y2" s="15">
        <f>IF(NC[PREÇO] &gt; 0,    NC[LÍQUIDO BASE]-SUMPRODUCT(N(NC[DATA]=NC[[#This Row],[DATA]]),    NC[IRRF FONTE]),    0)</f>
        <v>-183.98000000000005</v>
      </c>
      <c r="Z2" s="15">
        <f>NC[LÍQUIDO]-SUMPRODUCT(N(NC[DATA]=NC[[#This Row],[DATA]]),N(NC[ID]=(NC[[#This Row],[ID]]-1)),NC[LÍQUIDO])</f>
        <v>-183.98000000000005</v>
      </c>
      <c r="AA2" s="15">
        <f>IF(NC[T] = "VC", ABS(NC[VALOR OP]) / NC[QTDE], NC[VALOR OP]/NC[QTDE])</f>
        <v>-0.30663333333333342</v>
      </c>
      <c r="AB2" s="15">
        <f>TRUNC(IF(OR(NC[T]="CV",NC[T]="VV"),     N2*SETUP!$H$3,     0),2)</f>
        <v>0</v>
      </c>
      <c r="AC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D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E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" s="15">
        <f>IF(NC[LUCRO TMP] &lt;&gt; 0, NC[LUCRO TMP] - SUMPRODUCT(N(NC[ATIVO]=NC[[#This Row],[ATIVO]]),N(NC['[D/N']]="N"),N(NC[ID]&lt;NC[[#This Row],[ID]]),N(NC[PAR]=NC[[#This Row],[PAR]]), NC[LUCRO TMP]), 0)</f>
        <v>0</v>
      </c>
      <c r="AH2" s="15">
        <f>IF(NC[U] = "U", SUMPRODUCT(N(NC[ID]&lt;=NC[[#This Row],[ID]]),N(NC[DATA BASE]=NC[[#This Row],[DATA BASE]]), N(NC['[D/N']] = "N"),    NC[LUCRO P/ OP]), 0)</f>
        <v>0</v>
      </c>
      <c r="AI2" s="15">
        <f>IF(NC[U] = "U", SUMPRODUCT(N(NC[DATA BASE]=NC[[#This Row],[DATA BASE]]), N(NC['[D/N']] = "D"),    NC[LUCRO P/ OP]), 0)</f>
        <v>0</v>
      </c>
      <c r="AJ2" s="15">
        <f>IF(NC[U] = "U", SUMPRODUCT(N(NC[DATA BASE]=NC[[#This Row],[DATA BASE]]), N(NC['[D/N']] = "D"),    NC[IRRF FONTE]), 0)</f>
        <v>0</v>
      </c>
    </row>
    <row r="3" spans="1:36" ht="11.25" customHeight="1" x14ac:dyDescent="0.2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" s="15">
        <f>NC[QTDE]*NC[PREÇO]</f>
        <v>160</v>
      </c>
      <c r="O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P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Q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R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S3" s="15">
        <f>SETUP!$E$3 * IF(NC[PARCIAL] &gt; 0, NC[QTDE] / NC[PARCIAL], 1)</f>
        <v>14.9</v>
      </c>
      <c r="T3" s="15">
        <f>SUMPRODUCT(N(NC[DATA]=NC[[#This Row],[DATA]]),N(NC[ID]&lt;=NC[[#This Row],[ID]]), NC[CORR])</f>
        <v>29.8</v>
      </c>
      <c r="U3" s="15">
        <f>TRUNC(NC[CORRETAGEM]*SETUP!$F$3,2)</f>
        <v>0.59</v>
      </c>
      <c r="V3" s="15">
        <f>ROUND(NC[CORRETAGEM]*SETUP!$G$3,2)</f>
        <v>1.1599999999999999</v>
      </c>
      <c r="W3" s="15">
        <f>NC[VALOR LÍQUIDO DAS OPERAÇÕES]-NC[TAXA DE LIQUIDAÇÃO]-NC[EMOLUMENTOS]-NC[TAXA DE REGISTRO]-NC[CORRETAGEM]-NC[ISS]-IF(NC['[D/N']]="D",    0,    NC[OUTRAS BOVESPA]) - NC[AJUSTE]</f>
        <v>-359.98</v>
      </c>
      <c r="X3" s="15">
        <f>IF(AND(NC['[D/N']]="D",    NC[T]="CV",    NC[LÍQUIDO BASE] &gt; 0),    TRUNC(NC[LÍQUIDO BASE]*0.01, 2),    0)</f>
        <v>0</v>
      </c>
      <c r="Y3" s="15">
        <f>IF(NC[PREÇO] &gt; 0,    NC[LÍQUIDO BASE]-SUMPRODUCT(N(NC[DATA]=NC[[#This Row],[DATA]]),    NC[IRRF FONTE]),    0)</f>
        <v>-359.98</v>
      </c>
      <c r="Z3" s="15">
        <f>NC[LÍQUIDO]-SUMPRODUCT(N(NC[DATA]=NC[[#This Row],[DATA]]),N(NC[ID]=(NC[[#This Row],[ID]]-1)),NC[LÍQUIDO])</f>
        <v>-175.99999999999997</v>
      </c>
      <c r="AA3" s="15">
        <f>IF(NC[T] = "VC", ABS(NC[VALOR OP]) / NC[QTDE], NC[VALOR OP]/NC[QTDE])</f>
        <v>-0.43999999999999995</v>
      </c>
      <c r="AB3" s="15">
        <f>TRUNC(IF(OR(NC[T]="CV",NC[T]="VV"),     N3*SETUP!$H$3,     0),2)</f>
        <v>0</v>
      </c>
      <c r="AC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E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" s="15">
        <f>IF(NC[LUCRO TMP] &lt;&gt; 0, NC[LUCRO TMP] - SUMPRODUCT(N(NC[ATIVO]=NC[[#This Row],[ATIVO]]),N(NC['[D/N']]="N"),N(NC[ID]&lt;NC[[#This Row],[ID]]),N(NC[PAR]=NC[[#This Row],[PAR]]), NC[LUCRO TMP]), 0)</f>
        <v>0</v>
      </c>
      <c r="AH3" s="15">
        <f>IF(NC[U] = "U", SUMPRODUCT(N(NC[ID]&lt;=NC[[#This Row],[ID]]),N(NC[DATA BASE]=NC[[#This Row],[DATA BASE]]), N(NC['[D/N']] = "N"),    NC[LUCRO P/ OP]), 0)</f>
        <v>0</v>
      </c>
      <c r="AI3" s="15">
        <f>IF(NC[U] = "U", SUMPRODUCT(N(NC[DATA BASE]=NC[[#This Row],[DATA BASE]]), N(NC['[D/N']] = "D"),    NC[LUCRO P/ OP]), 0)</f>
        <v>0</v>
      </c>
      <c r="AJ3" s="15">
        <f>IF(NC[U] = "U", SUMPRODUCT(N(NC[DATA BASE]=NC[[#This Row],[DATA BASE]]), N(NC['[D/N']] = "D"),    NC[IRRF FONTE]), 0)</f>
        <v>0</v>
      </c>
    </row>
    <row r="4" spans="1:36" ht="11.25" customHeight="1" x14ac:dyDescent="0.2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4" s="15">
        <f>NC[QTDE]*NC[PREÇO]</f>
        <v>228</v>
      </c>
      <c r="O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P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4" s="15">
        <f>SETUP!$E$3 * IF(NC[PARCIAL] &gt; 0, NC[QTDE] / NC[PARCIAL], 1)</f>
        <v>14.9</v>
      </c>
      <c r="T4" s="15">
        <f>SUMPRODUCT(N(NC[DATA]=NC[[#This Row],[DATA]]),N(NC[ID]&lt;=NC[[#This Row],[ID]]), NC[CORR])</f>
        <v>14.9</v>
      </c>
      <c r="U4" s="15">
        <f>TRUNC(NC[CORRETAGEM]*SETUP!$F$3,2)</f>
        <v>0.28999999999999998</v>
      </c>
      <c r="V4" s="15">
        <f>ROUND(NC[CORRETAGEM]*SETUP!$G$3,2)</f>
        <v>0.57999999999999996</v>
      </c>
      <c r="W4" s="15">
        <f>NC[VALOR LÍQUIDO DAS OPERAÇÕES]-NC[TAXA DE LIQUIDAÇÃO]-NC[EMOLUMENTOS]-NC[TAXA DE REGISTRO]-NC[CORRETAGEM]-NC[ISS]-IF(NC['[D/N']]="D",    0,    NC[OUTRAS BOVESPA]) - NC[AJUSTE]</f>
        <v>-243.28</v>
      </c>
      <c r="X4" s="15">
        <f>IF(AND(NC['[D/N']]="D",    NC[T]="CV",    NC[LÍQUIDO BASE] &gt; 0),    TRUNC(NC[LÍQUIDO BASE]*0.01, 2),    0)</f>
        <v>0</v>
      </c>
      <c r="Y4" s="15">
        <f>IF(NC[PREÇO] &gt; 0,    NC[LÍQUIDO BASE]-SUMPRODUCT(N(NC[DATA]=NC[[#This Row],[DATA]]),    NC[IRRF FONTE]),    0)</f>
        <v>-245.25</v>
      </c>
      <c r="Z4" s="15">
        <f>NC[LÍQUIDO]-SUMPRODUCT(N(NC[DATA]=NC[[#This Row],[DATA]]),N(NC[ID]=(NC[[#This Row],[ID]]-1)),NC[LÍQUIDO])</f>
        <v>-245.25</v>
      </c>
      <c r="AA4" s="15">
        <f>IF(NC[T] = "VC", ABS(NC[VALOR OP]) / NC[QTDE], NC[VALOR OP]/NC[QTDE])</f>
        <v>-0.204375</v>
      </c>
      <c r="AB4" s="15">
        <f>TRUNC(IF(OR(NC[T]="CV",NC[T]="VV"),     N4*SETUP!$H$3,     0),2)</f>
        <v>0</v>
      </c>
      <c r="AC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E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" s="15">
        <f>IF(NC[LUCRO TMP] &lt;&gt; 0, NC[LUCRO TMP] - SUMPRODUCT(N(NC[ATIVO]=NC[[#This Row],[ATIVO]]),N(NC['[D/N']]="N"),N(NC[ID]&lt;NC[[#This Row],[ID]]),N(NC[PAR]=NC[[#This Row],[PAR]]), NC[LUCRO TMP]), 0)</f>
        <v>0</v>
      </c>
      <c r="AH4" s="15">
        <f>IF(NC[U] = "U", SUMPRODUCT(N(NC[ID]&lt;=NC[[#This Row],[ID]]),N(NC[DATA BASE]=NC[[#This Row],[DATA BASE]]), N(NC['[D/N']] = "N"),    NC[LUCRO P/ OP]), 0)</f>
        <v>0</v>
      </c>
      <c r="AI4" s="15">
        <f>IF(NC[U] = "U", SUMPRODUCT(N(NC[DATA BASE]=NC[[#This Row],[DATA BASE]]), N(NC['[D/N']] = "D"),    NC[LUCRO P/ OP]), 0)</f>
        <v>0</v>
      </c>
      <c r="AJ4" s="15">
        <f>IF(NC[U] = "U", SUMPRODUCT(N(NC[DATA BASE]=NC[[#This Row],[DATA BASE]]), N(NC['[D/N']] = "D"),    NC[IRRF FONTE]), 0)</f>
        <v>0</v>
      </c>
    </row>
    <row r="5" spans="1:36" ht="11.25" customHeight="1" x14ac:dyDescent="0.2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" s="15">
        <f>NC[QTDE]*NC[PREÇO]</f>
        <v>456</v>
      </c>
      <c r="O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P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R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S5" s="15">
        <f>SETUP!$E$3 * IF(NC[PARCIAL] &gt; 0, NC[QTDE] / NC[PARCIAL], 1)</f>
        <v>14.9</v>
      </c>
      <c r="T5" s="15">
        <f>SUMPRODUCT(N(NC[DATA]=NC[[#This Row],[DATA]]),N(NC[ID]&lt;=NC[[#This Row],[ID]]), NC[CORR])</f>
        <v>29.8</v>
      </c>
      <c r="U5" s="15">
        <f>TRUNC(NC[CORRETAGEM]*SETUP!$F$3,2)</f>
        <v>0.59</v>
      </c>
      <c r="V5" s="15">
        <f>ROUND(NC[CORRETAGEM]*SETUP!$G$3,2)</f>
        <v>1.1599999999999999</v>
      </c>
      <c r="W5" s="15">
        <f>NC[VALOR LÍQUIDO DAS OPERAÇÕES]-NC[TAXA DE LIQUIDAÇÃO]-NC[EMOLUMENTOS]-NC[TAXA DE REGISTRO]-NC[CORRETAGEM]-NC[ISS]-IF(NC['[D/N']]="D",    0,    NC[OUTRAS BOVESPA]) - NC[AJUSTE]</f>
        <v>197.30999999999997</v>
      </c>
      <c r="X5" s="15">
        <f>IF(AND(NC['[D/N']]="D",    NC[T]="CV",    NC[LÍQUIDO BASE] &gt; 0),    TRUNC(NC[LÍQUIDO BASE]*0.01, 2),    0)</f>
        <v>1.97</v>
      </c>
      <c r="Y5" s="15">
        <f>IF(NC[PREÇO] &gt; 0,    NC[LÍQUIDO BASE]-SUMPRODUCT(N(NC[DATA]=NC[[#This Row],[DATA]]),    NC[IRRF FONTE]),    0)</f>
        <v>195.33999999999997</v>
      </c>
      <c r="Z5" s="15">
        <f>NC[LÍQUIDO]-SUMPRODUCT(N(NC[DATA]=NC[[#This Row],[DATA]]),N(NC[ID]=(NC[[#This Row],[ID]]-1)),NC[LÍQUIDO])</f>
        <v>440.59</v>
      </c>
      <c r="AA5" s="15">
        <f>IF(NC[T] = "VC", ABS(NC[VALOR OP]) / NC[QTDE], NC[VALOR OP]/NC[QTDE])</f>
        <v>0.36715833333333331</v>
      </c>
      <c r="AB5" s="15">
        <f>TRUNC(IF(OR(NC[T]="CV",NC[T]="VV"),     N5*SETUP!$H$3,     0),2)</f>
        <v>0.02</v>
      </c>
      <c r="AC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E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0.36715833333333331</v>
      </c>
      <c r="AF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197.30999999999997</v>
      </c>
      <c r="AG5" s="15">
        <f>IF(NC[LUCRO TMP] &lt;&gt; 0, NC[LUCRO TMP] - SUMPRODUCT(N(NC[ATIVO]=NC[[#This Row],[ATIVO]]),N(NC['[D/N']]="N"),N(NC[ID]&lt;NC[[#This Row],[ID]]),N(NC[PAR]=NC[[#This Row],[PAR]]), NC[LUCRO TMP]), 0)</f>
        <v>197.30999999999997</v>
      </c>
      <c r="AH5" s="15">
        <f>IF(NC[U] = "U", SUMPRODUCT(N(NC[ID]&lt;=NC[[#This Row],[ID]]),N(NC[DATA BASE]=NC[[#This Row],[DATA BASE]]), N(NC['[D/N']] = "N"),    NC[LUCRO P/ OP]), 0)</f>
        <v>0</v>
      </c>
      <c r="AI5" s="15">
        <f>IF(NC[U] = "U", SUMPRODUCT(N(NC[DATA BASE]=NC[[#This Row],[DATA BASE]]), N(NC['[D/N']] = "D"),    NC[LUCRO P/ OP]), 0)</f>
        <v>0</v>
      </c>
      <c r="AJ5" s="15">
        <f>IF(NC[U] = "U", SUMPRODUCT(N(NC[DATA BASE]=NC[[#This Row],[DATA BASE]]), N(NC['[D/N']] = "D"),    NC[IRRF FONTE]), 0)</f>
        <v>0</v>
      </c>
    </row>
    <row r="6" spans="1:36" ht="11.25" customHeight="1" x14ac:dyDescent="0.2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" s="15">
        <f>NC[QTDE]*NC[PREÇO]</f>
        <v>320</v>
      </c>
      <c r="O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P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Q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R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S6" s="15">
        <f>SETUP!$E$3 * IF(NC[PARCIAL] &gt; 0, NC[QTDE] / NC[PARCIAL], 1)</f>
        <v>14.9</v>
      </c>
      <c r="T6" s="15">
        <f>SUMPRODUCT(N(NC[DATA]=NC[[#This Row],[DATA]]),N(NC[ID]&lt;=NC[[#This Row],[ID]]), NC[CORR])</f>
        <v>44.7</v>
      </c>
      <c r="U6" s="15">
        <f>TRUNC(NC[CORRETAGEM]*SETUP!$F$3,2)</f>
        <v>0.89</v>
      </c>
      <c r="V6" s="15">
        <f>ROUND(NC[CORRETAGEM]*SETUP!$G$3,2)</f>
        <v>1.74</v>
      </c>
      <c r="W6" s="15">
        <f>NC[VALOR LÍQUIDO DAS OPERAÇÕES]-NC[TAXA DE LIQUIDAÇÃO]-NC[EMOLUMENTOS]-NC[TAXA DE REGISTRO]-NC[CORRETAGEM]-NC[ISS]-IF(NC['[D/N']]="D",    0,    NC[OUTRAS BOVESPA]) - NC[AJUSTE]</f>
        <v>499.93999999999988</v>
      </c>
      <c r="X6" s="15">
        <f>IF(AND(NC['[D/N']]="D",    NC[T]="CV",    NC[LÍQUIDO BASE] &gt; 0),    TRUNC(NC[LÍQUIDO BASE]*0.01, 2),    0)</f>
        <v>0</v>
      </c>
      <c r="Y6" s="15">
        <f>IF(NC[PREÇO] &gt; 0,    NC[LÍQUIDO BASE]-SUMPRODUCT(N(NC[DATA]=NC[[#This Row],[DATA]]),    NC[IRRF FONTE]),    0)</f>
        <v>497.96999999999986</v>
      </c>
      <c r="Z6" s="15">
        <f>NC[LÍQUIDO]-SUMPRODUCT(N(NC[DATA]=NC[[#This Row],[DATA]]),N(NC[ID]=(NC[[#This Row],[ID]]-1)),NC[LÍQUIDO])</f>
        <v>302.62999999999988</v>
      </c>
      <c r="AA6" s="15">
        <f>IF(NC[T] = "VC", ABS(NC[VALOR OP]) / NC[QTDE], NC[VALOR OP]/NC[QTDE])</f>
        <v>0.75657499999999966</v>
      </c>
      <c r="AB6" s="15">
        <f>TRUNC(IF(OR(NC[T]="CV",NC[T]="VV"),     N6*SETUP!$H$3,     0),2)</f>
        <v>0.01</v>
      </c>
      <c r="AC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E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0.75657499999999966</v>
      </c>
      <c r="AF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126.62999999999988</v>
      </c>
      <c r="AG6" s="15">
        <f>IF(NC[LUCRO TMP] &lt;&gt; 0, NC[LUCRO TMP] - SUMPRODUCT(N(NC[ATIVO]=NC[[#This Row],[ATIVO]]),N(NC['[D/N']]="N"),N(NC[ID]&lt;NC[[#This Row],[ID]]),N(NC[PAR]=NC[[#This Row],[PAR]]), NC[LUCRO TMP]), 0)</f>
        <v>126.62999999999988</v>
      </c>
      <c r="AH6" s="15">
        <f>IF(NC[U] = "U", SUMPRODUCT(N(NC[ID]&lt;=NC[[#This Row],[ID]]),N(NC[DATA BASE]=NC[[#This Row],[DATA BASE]]), N(NC['[D/N']] = "N"),    NC[LUCRO P/ OP]), 0)</f>
        <v>0</v>
      </c>
      <c r="AI6" s="15">
        <f>IF(NC[U] = "U", SUMPRODUCT(N(NC[DATA BASE]=NC[[#This Row],[DATA BASE]]), N(NC['[D/N']] = "D"),    NC[LUCRO P/ OP]), 0)</f>
        <v>0</v>
      </c>
      <c r="AJ6" s="15">
        <f>IF(NC[U] = "U", SUMPRODUCT(N(NC[DATA BASE]=NC[[#This Row],[DATA BASE]]), N(NC['[D/N']] = "D"),    NC[IRRF FONTE]), 0)</f>
        <v>0</v>
      </c>
    </row>
    <row r="7" spans="1:36" x14ac:dyDescent="0.2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" s="15">
        <f>NC[QTDE]*NC[PREÇO]</f>
        <v>160</v>
      </c>
      <c r="O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P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R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S7" s="15">
        <f>SETUP!$E$3 * IF(NC[PARCIAL] &gt; 0, NC[QTDE] / NC[PARCIAL], 1)</f>
        <v>14.9</v>
      </c>
      <c r="T7" s="15">
        <f>SUMPRODUCT(N(NC[DATA]=NC[[#This Row],[DATA]]),N(NC[ID]&lt;=NC[[#This Row],[ID]]), NC[CORR])</f>
        <v>59.6</v>
      </c>
      <c r="U7" s="15">
        <f>TRUNC(NC[CORRETAGEM]*SETUP!$F$3,2)</f>
        <v>1.19</v>
      </c>
      <c r="V7" s="15">
        <f>ROUND(NC[CORRETAGEM]*SETUP!$G$3,2)</f>
        <v>2.3199999999999998</v>
      </c>
      <c r="W7" s="15">
        <f>NC[VALOR LÍQUIDO DAS OPERAÇÕES]-NC[TAXA DE LIQUIDAÇÃO]-NC[EMOLUMENTOS]-NC[TAXA DE REGISTRO]-NC[CORRETAGEM]-NC[ISS]-IF(NC['[D/N']]="D",    0,    NC[OUTRAS BOVESPA]) - NC[AJUSTE]</f>
        <v>323.95999999999998</v>
      </c>
      <c r="X7" s="15">
        <f>IF(AND(NC['[D/N']]="D",    NC[T]="CV",    NC[LÍQUIDO BASE] &gt; 0),    TRUNC(NC[LÍQUIDO BASE]*0.01, 2),    0)</f>
        <v>0</v>
      </c>
      <c r="Y7" s="15">
        <f>IF(NC[PREÇO] &gt; 0,    NC[LÍQUIDO BASE]-SUMPRODUCT(N(NC[DATA]=NC[[#This Row],[DATA]]),    NC[IRRF FONTE]),    0)</f>
        <v>321.98999999999995</v>
      </c>
      <c r="Z7" s="15">
        <f>NC[LÍQUIDO]-SUMPRODUCT(N(NC[DATA]=NC[[#This Row],[DATA]]),N(NC[ID]=(NC[[#This Row],[ID]]-1)),NC[LÍQUIDO])</f>
        <v>-175.9799999999999</v>
      </c>
      <c r="AA7" s="15">
        <f>IF(NC[T] = "VC", ABS(NC[VALOR OP]) / NC[QTDE], NC[VALOR OP]/NC[QTDE])</f>
        <v>-0.87989999999999957</v>
      </c>
      <c r="AB7" s="15">
        <f>TRUNC(IF(OR(NC[T]="CV",NC[T]="VV"),     N7*SETUP!$H$3,     0),2)</f>
        <v>0</v>
      </c>
      <c r="AC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D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E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" s="15">
        <f>IF(NC[LUCRO TMP] &lt;&gt; 0, NC[LUCRO TMP] - SUMPRODUCT(N(NC[ATIVO]=NC[[#This Row],[ATIVO]]),N(NC['[D/N']]="N"),N(NC[ID]&lt;NC[[#This Row],[ID]]),N(NC[PAR]=NC[[#This Row],[PAR]]), NC[LUCRO TMP]), 0)</f>
        <v>0</v>
      </c>
      <c r="AH7" s="15">
        <f>IF(NC[U] = "U", SUMPRODUCT(N(NC[ID]&lt;=NC[[#This Row],[ID]]),N(NC[DATA BASE]=NC[[#This Row],[DATA BASE]]), N(NC['[D/N']] = "N"),    NC[LUCRO P/ OP]), 0)</f>
        <v>0</v>
      </c>
      <c r="AI7" s="15">
        <f>IF(NC[U] = "U", SUMPRODUCT(N(NC[DATA BASE]=NC[[#This Row],[DATA BASE]]), N(NC['[D/N']] = "D"),    NC[LUCRO P/ OP]), 0)</f>
        <v>0</v>
      </c>
      <c r="AJ7" s="15">
        <f>IF(NC[U] = "U", SUMPRODUCT(N(NC[DATA BASE]=NC[[#This Row],[DATA BASE]]), N(NC['[D/N']] = "D"),    NC[IRRF FONTE]), 0)</f>
        <v>0</v>
      </c>
    </row>
    <row r="8" spans="1:36" ht="11.25" customHeight="1" x14ac:dyDescent="0.2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" s="15">
        <f>NC[QTDE]*NC[PREÇO]</f>
        <v>336.00000000000006</v>
      </c>
      <c r="O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P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R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S8" s="15">
        <f>SETUP!$E$3 * IF(NC[PARCIAL] &gt; 0, NC[QTDE] / NC[PARCIAL], 1)</f>
        <v>14.9</v>
      </c>
      <c r="T8" s="15">
        <f>SUMPRODUCT(N(NC[DATA]=NC[[#This Row],[DATA]]),N(NC[ID]&lt;=NC[[#This Row],[ID]]), NC[CORR])</f>
        <v>74.5</v>
      </c>
      <c r="U8" s="15">
        <f>TRUNC(NC[CORRETAGEM]*SETUP!$F$3,2)</f>
        <v>1.49</v>
      </c>
      <c r="V8" s="15">
        <f>ROUND(NC[CORRETAGEM]*SETUP!$G$3,2)</f>
        <v>2.91</v>
      </c>
      <c r="W8" s="15">
        <f>NC[VALOR LÍQUIDO DAS OPERAÇÕES]-NC[TAXA DE LIQUIDAÇÃO]-NC[EMOLUMENTOS]-NC[TAXA DE REGISTRO]-NC[CORRETAGEM]-NC[ISS]-IF(NC['[D/N']]="D",    0,    NC[OUTRAS BOVESPA]) - NC[AJUSTE]</f>
        <v>643.72</v>
      </c>
      <c r="X8" s="15">
        <f>IF(AND(NC['[D/N']]="D",    NC[T]="CV",    NC[LÍQUIDO BASE] &gt; 0),    TRUNC(NC[LÍQUIDO BASE]*0.01, 2),    0)</f>
        <v>0</v>
      </c>
      <c r="Y8" s="15">
        <f>IF(NC[PREÇO] &gt; 0,    NC[LÍQUIDO BASE]-SUMPRODUCT(N(NC[DATA]=NC[[#This Row],[DATA]]),    NC[IRRF FONTE]),    0)</f>
        <v>641.75</v>
      </c>
      <c r="Z8" s="15">
        <f>NC[LÍQUIDO]-SUMPRODUCT(N(NC[DATA]=NC[[#This Row],[DATA]]),N(NC[ID]=(NC[[#This Row],[ID]]-1)),NC[LÍQUIDO])</f>
        <v>319.76000000000005</v>
      </c>
      <c r="AA8" s="15">
        <f>IF(NC[T] = "VC", ABS(NC[VALOR OP]) / NC[QTDE], NC[VALOR OP]/NC[QTDE])</f>
        <v>0.53293333333333337</v>
      </c>
      <c r="AB8" s="15">
        <f>TRUNC(IF(OR(NC[T]="CV",NC[T]="VV"),     N8*SETUP!$H$3,     0),2)</f>
        <v>0.01</v>
      </c>
      <c r="AC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E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0.53293333333333337</v>
      </c>
      <c r="AF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135.77999999999997</v>
      </c>
      <c r="AG8" s="15">
        <f>IF(NC[LUCRO TMP] &lt;&gt; 0, NC[LUCRO TMP] - SUMPRODUCT(N(NC[ATIVO]=NC[[#This Row],[ATIVO]]),N(NC['[D/N']]="N"),N(NC[ID]&lt;NC[[#This Row],[ID]]),N(NC[PAR]=NC[[#This Row],[PAR]]), NC[LUCRO TMP]), 0)</f>
        <v>135.77999999999997</v>
      </c>
      <c r="AH8" s="15">
        <f>IF(NC[U] = "U", SUMPRODUCT(N(NC[ID]&lt;=NC[[#This Row],[ID]]),N(NC[DATA BASE]=NC[[#This Row],[DATA BASE]]), N(NC['[D/N']] = "N"),    NC[LUCRO P/ OP]), 0)</f>
        <v>0</v>
      </c>
      <c r="AI8" s="15">
        <f>IF(NC[U] = "U", SUMPRODUCT(N(NC[DATA BASE]=NC[[#This Row],[DATA BASE]]), N(NC['[D/N']] = "D"),    NC[LUCRO P/ OP]), 0)</f>
        <v>0</v>
      </c>
      <c r="AJ8" s="15">
        <f>IF(NC[U] = "U", SUMPRODUCT(N(NC[DATA BASE]=NC[[#This Row],[DATA BASE]]), N(NC['[D/N']] = "D"),    NC[IRRF FONTE]), 0)</f>
        <v>0</v>
      </c>
    </row>
    <row r="9" spans="1:36" ht="11.25" customHeight="1" x14ac:dyDescent="0.2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9" s="15">
        <f>NC[QTDE]*NC[PREÇO]</f>
        <v>312</v>
      </c>
      <c r="O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P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9" s="15">
        <f>SETUP!$E$3 * IF(NC[PARCIAL] &gt; 0, NC[QTDE] / NC[PARCIAL], 1)</f>
        <v>14.9</v>
      </c>
      <c r="T9" s="15">
        <f>SUMPRODUCT(N(NC[DATA]=NC[[#This Row],[DATA]]),N(NC[ID]&lt;=NC[[#This Row],[ID]]), NC[CORR])</f>
        <v>14.9</v>
      </c>
      <c r="U9" s="15">
        <f>TRUNC(NC[CORRETAGEM]*SETUP!$F$3,2)</f>
        <v>0.28999999999999998</v>
      </c>
      <c r="V9" s="15">
        <f>ROUND(NC[CORRETAGEM]*SETUP!$G$3,2)</f>
        <v>0.57999999999999996</v>
      </c>
      <c r="W9" s="15">
        <f>NC[VALOR LÍQUIDO DAS OPERAÇÕES]-NC[TAXA DE LIQUIDAÇÃO]-NC[EMOLUMENTOS]-NC[TAXA DE REGISTRO]-NC[CORRETAGEM]-NC[ISS]-IF(NC['[D/N']]="D",    0,    NC[OUTRAS BOVESPA]) - NC[AJUSTE]</f>
        <v>-327.31</v>
      </c>
      <c r="X9" s="15">
        <f>IF(AND(NC['[D/N']]="D",    NC[T]="CV",    NC[LÍQUIDO BASE] &gt; 0),    TRUNC(NC[LÍQUIDO BASE]*0.01, 2),    0)</f>
        <v>0</v>
      </c>
      <c r="Y9" s="15">
        <f>IF(NC[PREÇO] &gt; 0,    NC[LÍQUIDO BASE]-SUMPRODUCT(N(NC[DATA]=NC[[#This Row],[DATA]]),    NC[IRRF FONTE]),    0)</f>
        <v>-330.12</v>
      </c>
      <c r="Z9" s="15">
        <f>NC[LÍQUIDO]-SUMPRODUCT(N(NC[DATA]=NC[[#This Row],[DATA]]),N(NC[ID]=(NC[[#This Row],[ID]]-1)),NC[LÍQUIDO])</f>
        <v>-330.12</v>
      </c>
      <c r="AA9" s="15">
        <f>IF(NC[T] = "VC", ABS(NC[VALOR OP]) / NC[QTDE], NC[VALOR OP]/NC[QTDE])</f>
        <v>-0.13755000000000001</v>
      </c>
      <c r="AB9" s="15">
        <f>TRUNC(IF(OR(NC[T]="CV",NC[T]="VV"),     N9*SETUP!$H$3,     0),2)</f>
        <v>0</v>
      </c>
      <c r="AC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E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9" s="15">
        <f>IF(NC[LUCRO TMP] &lt;&gt; 0, NC[LUCRO TMP] - SUMPRODUCT(N(NC[ATIVO]=NC[[#This Row],[ATIVO]]),N(NC['[D/N']]="N"),N(NC[ID]&lt;NC[[#This Row],[ID]]),N(NC[PAR]=NC[[#This Row],[PAR]]), NC[LUCRO TMP]), 0)</f>
        <v>0</v>
      </c>
      <c r="AH9" s="15">
        <f>IF(NC[U] = "U", SUMPRODUCT(N(NC[ID]&lt;=NC[[#This Row],[ID]]),N(NC[DATA BASE]=NC[[#This Row],[DATA BASE]]), N(NC['[D/N']] = "N"),    NC[LUCRO P/ OP]), 0)</f>
        <v>0</v>
      </c>
      <c r="AI9" s="15">
        <f>IF(NC[U] = "U", SUMPRODUCT(N(NC[DATA BASE]=NC[[#This Row],[DATA BASE]]), N(NC['[D/N']] = "D"),    NC[LUCRO P/ OP]), 0)</f>
        <v>0</v>
      </c>
      <c r="AJ9" s="15">
        <f>IF(NC[U] = "U", SUMPRODUCT(N(NC[DATA BASE]=NC[[#This Row],[DATA BASE]]), N(NC['[D/N']] = "D"),    NC[IRRF FONTE]), 0)</f>
        <v>0</v>
      </c>
    </row>
    <row r="10" spans="1:36" ht="11.25" customHeight="1" x14ac:dyDescent="0.2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10" s="15">
        <f>NC[QTDE]*NC[PREÇO]</f>
        <v>624</v>
      </c>
      <c r="O1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P1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1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R1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10" s="15">
        <f>SETUP!$E$3 * IF(NC[PARCIAL] &gt; 0, NC[QTDE] / NC[PARCIAL], 1)</f>
        <v>14.9</v>
      </c>
      <c r="T10" s="15">
        <f>SUMPRODUCT(N(NC[DATA]=NC[[#This Row],[DATA]]),N(NC[ID]&lt;=NC[[#This Row],[ID]]), NC[CORR])</f>
        <v>29.8</v>
      </c>
      <c r="U10" s="15">
        <f>TRUNC(NC[CORRETAGEM]*SETUP!$F$3,2)</f>
        <v>0.59</v>
      </c>
      <c r="V10" s="15">
        <f>ROUND(NC[CORRETAGEM]*SETUP!$G$3,2)</f>
        <v>1.1599999999999999</v>
      </c>
      <c r="W10" s="15">
        <f>NC[VALOR LÍQUIDO DAS OPERAÇÕES]-NC[TAXA DE LIQUIDAÇÃO]-NC[EMOLUMENTOS]-NC[TAXA DE REGISTRO]-NC[CORRETAGEM]-NC[ISS]-IF(NC['[D/N']]="D",    0,    NC[OUTRAS BOVESPA]) - NC[AJUSTE]</f>
        <v>281.2</v>
      </c>
      <c r="X10" s="15">
        <f>IF(AND(NC['[D/N']]="D",    NC[T]="CV",    NC[LÍQUIDO BASE] &gt; 0),    TRUNC(NC[LÍQUIDO BASE]*0.01, 2),    0)</f>
        <v>2.81</v>
      </c>
      <c r="Y10" s="15">
        <f>IF(NC[PREÇO] &gt; 0,    NC[LÍQUIDO BASE]-SUMPRODUCT(N(NC[DATA]=NC[[#This Row],[DATA]]),    NC[IRRF FONTE]),    0)</f>
        <v>278.39</v>
      </c>
      <c r="Z10" s="15">
        <f>NC[LÍQUIDO]-SUMPRODUCT(N(NC[DATA]=NC[[#This Row],[DATA]]),N(NC[ID]=(NC[[#This Row],[ID]]-1)),NC[LÍQUIDO])</f>
        <v>608.51</v>
      </c>
      <c r="AA10" s="15">
        <f>IF(NC[T] = "VC", ABS(NC[VALOR OP]) / NC[QTDE], NC[VALOR OP]/NC[QTDE])</f>
        <v>0.2535458333333333</v>
      </c>
      <c r="AB10" s="15">
        <f>TRUNC(IF(OR(NC[T]="CV",NC[T]="VV"),     N10*SETUP!$H$3,     0),2)</f>
        <v>0.03</v>
      </c>
      <c r="AC1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E1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0.2535458333333333</v>
      </c>
      <c r="AF1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281.19999999999993</v>
      </c>
      <c r="AG10" s="15">
        <f>IF(NC[LUCRO TMP] &lt;&gt; 0, NC[LUCRO TMP] - SUMPRODUCT(N(NC[ATIVO]=NC[[#This Row],[ATIVO]]),N(NC['[D/N']]="N"),N(NC[ID]&lt;NC[[#This Row],[ID]]),N(NC[PAR]=NC[[#This Row],[PAR]]), NC[LUCRO TMP]), 0)</f>
        <v>281.19999999999993</v>
      </c>
      <c r="AH10" s="15">
        <f>IF(NC[U] = "U", SUMPRODUCT(N(NC[ID]&lt;=NC[[#This Row],[ID]]),N(NC[DATA BASE]=NC[[#This Row],[DATA BASE]]), N(NC['[D/N']] = "N"),    NC[LUCRO P/ OP]), 0)</f>
        <v>0</v>
      </c>
      <c r="AI10" s="15">
        <f>IF(NC[U] = "U", SUMPRODUCT(N(NC[DATA BASE]=NC[[#This Row],[DATA BASE]]), N(NC['[D/N']] = "D"),    NC[LUCRO P/ OP]), 0)</f>
        <v>0</v>
      </c>
      <c r="AJ10" s="15">
        <f>IF(NC[U] = "U", SUMPRODUCT(N(NC[DATA BASE]=NC[[#This Row],[DATA BASE]]), N(NC['[D/N']] = "D"),    NC[IRRF FONTE]), 0)</f>
        <v>0</v>
      </c>
    </row>
    <row r="11" spans="1:36" ht="11.25" customHeight="1" x14ac:dyDescent="0.2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1" s="15">
        <f>NC[QTDE]*NC[PREÇO]</f>
        <v>312</v>
      </c>
      <c r="O1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1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1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R1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S11" s="15">
        <f>SETUP!$E$3 * IF(NC[PARCIAL] &gt; 0, NC[QTDE] / NC[PARCIAL], 1)</f>
        <v>14.9</v>
      </c>
      <c r="T11" s="15">
        <f>SUMPRODUCT(N(NC[DATA]=NC[[#This Row],[DATA]]),N(NC[ID]&lt;=NC[[#This Row],[ID]]), NC[CORR])</f>
        <v>44.7</v>
      </c>
      <c r="U11" s="15">
        <f>TRUNC(NC[CORRETAGEM]*SETUP!$F$3,2)</f>
        <v>0.89</v>
      </c>
      <c r="V11" s="15">
        <f>ROUND(NC[CORRETAGEM]*SETUP!$G$3,2)</f>
        <v>1.74</v>
      </c>
      <c r="W11" s="15">
        <f>NC[VALOR LÍQUIDO DAS OPERAÇÕES]-NC[TAXA DE LIQUIDAÇÃO]-NC[EMOLUMENTOS]-NC[TAXA DE REGISTRO]-NC[CORRETAGEM]-NC[ISS]-IF(NC['[D/N']]="D",    0,    NC[OUTRAS BOVESPA]) - NC[AJUSTE]</f>
        <v>-48.150000000000006</v>
      </c>
      <c r="X11" s="15">
        <f>IF(AND(NC['[D/N']]="D",    NC[T]="CV",    NC[LÍQUIDO BASE] &gt; 0),    TRUNC(NC[LÍQUIDO BASE]*0.01, 2),    0)</f>
        <v>0</v>
      </c>
      <c r="Y11" s="15">
        <f>IF(NC[PREÇO] &gt; 0,    NC[LÍQUIDO BASE]-SUMPRODUCT(N(NC[DATA]=NC[[#This Row],[DATA]]),    NC[IRRF FONTE]),    0)</f>
        <v>-50.960000000000008</v>
      </c>
      <c r="Z11" s="15">
        <f>NC[LÍQUIDO]-SUMPRODUCT(N(NC[DATA]=NC[[#This Row],[DATA]]),N(NC[ID]=(NC[[#This Row],[ID]]-1)),NC[LÍQUIDO])</f>
        <v>-329.35</v>
      </c>
      <c r="AA11" s="15">
        <f>IF(NC[T] = "VC", ABS(NC[VALOR OP]) / NC[QTDE], NC[VALOR OP]/NC[QTDE])</f>
        <v>-0.41168750000000004</v>
      </c>
      <c r="AB11" s="15">
        <f>TRUNC(IF(OR(NC[T]="CV",NC[T]="VV"),     N11*SETUP!$H$3,     0),2)</f>
        <v>0</v>
      </c>
      <c r="AC1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D1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E1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1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1" s="15">
        <f>IF(NC[LUCRO TMP] &lt;&gt; 0, NC[LUCRO TMP] - SUMPRODUCT(N(NC[ATIVO]=NC[[#This Row],[ATIVO]]),N(NC['[D/N']]="N"),N(NC[ID]&lt;NC[[#This Row],[ID]]),N(NC[PAR]=NC[[#This Row],[PAR]]), NC[LUCRO TMP]), 0)</f>
        <v>0</v>
      </c>
      <c r="AH11" s="15">
        <f>IF(NC[U] = "U", SUMPRODUCT(N(NC[ID]&lt;=NC[[#This Row],[ID]]),N(NC[DATA BASE]=NC[[#This Row],[DATA BASE]]), N(NC['[D/N']] = "N"),    NC[LUCRO P/ OP]), 0)</f>
        <v>0</v>
      </c>
      <c r="AI11" s="15">
        <f>IF(NC[U] = "U", SUMPRODUCT(N(NC[DATA BASE]=NC[[#This Row],[DATA BASE]]), N(NC['[D/N']] = "D"),    NC[LUCRO P/ OP]), 0)</f>
        <v>0</v>
      </c>
      <c r="AJ11" s="15">
        <f>IF(NC[U] = "U", SUMPRODUCT(N(NC[DATA BASE]=NC[[#This Row],[DATA BASE]]), N(NC['[D/N']] = "D"),    NC[IRRF FONTE]), 0)</f>
        <v>0</v>
      </c>
    </row>
    <row r="12" spans="1:36" ht="11.25" customHeight="1" x14ac:dyDescent="0.2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2" s="15">
        <f>NC[QTDE]*NC[PREÇO]</f>
        <v>360</v>
      </c>
      <c r="O1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P1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Q1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R1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S12" s="15">
        <f>SETUP!$E$3 * IF(NC[PARCIAL] &gt; 0, NC[QTDE] / NC[PARCIAL], 1)</f>
        <v>14.9</v>
      </c>
      <c r="T12" s="15">
        <f>SUMPRODUCT(N(NC[DATA]=NC[[#This Row],[DATA]]),N(NC[ID]&lt;=NC[[#This Row],[ID]]), NC[CORR])</f>
        <v>14.9</v>
      </c>
      <c r="U12" s="15">
        <f>TRUNC(NC[CORRETAGEM]*SETUP!$F$3,2)</f>
        <v>0.28999999999999998</v>
      </c>
      <c r="V12" s="15">
        <f>ROUND(NC[CORRETAGEM]*SETUP!$G$3,2)</f>
        <v>0.57999999999999996</v>
      </c>
      <c r="W12" s="15">
        <f>NC[VALOR LÍQUIDO DAS OPERAÇÕES]-NC[TAXA DE LIQUIDAÇÃO]-NC[EMOLUMENTOS]-NC[TAXA DE REGISTRO]-NC[CORRETAGEM]-NC[ISS]-IF(NC['[D/N']]="D",    0,    NC[OUTRAS BOVESPA]) - NC[AJUSTE]</f>
        <v>-376.23999999999995</v>
      </c>
      <c r="X12" s="15">
        <f>IF(AND(NC['[D/N']]="D",    NC[T]="CV",    NC[LÍQUIDO BASE] &gt; 0),    TRUNC(NC[LÍQUIDO BASE]*0.01, 2),    0)</f>
        <v>0</v>
      </c>
      <c r="Y12" s="15">
        <f>IF(NC[PREÇO] &gt; 0,    NC[LÍQUIDO BASE]-SUMPRODUCT(N(NC[DATA]=NC[[#This Row],[DATA]]),    NC[IRRF FONTE]),    0)</f>
        <v>-376.23999999999995</v>
      </c>
      <c r="Z12" s="15">
        <f>NC[LÍQUIDO]-SUMPRODUCT(N(NC[DATA]=NC[[#This Row],[DATA]]),N(NC[ID]=(NC[[#This Row],[ID]]-1)),NC[LÍQUIDO])</f>
        <v>-376.23999999999995</v>
      </c>
      <c r="AA12" s="15">
        <f>IF(NC[T] = "VC", ABS(NC[VALOR OP]) / NC[QTDE], NC[VALOR OP]/NC[QTDE])</f>
        <v>-0.75247999999999993</v>
      </c>
      <c r="AB12" s="15">
        <f>TRUNC(IF(OR(NC[T]="CV",NC[T]="VV"),     N12*SETUP!$H$3,     0),2)</f>
        <v>0</v>
      </c>
      <c r="AC1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D1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E1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2" s="15">
        <f>IF(NC[LUCRO TMP] &lt;&gt; 0, NC[LUCRO TMP] - SUMPRODUCT(N(NC[ATIVO]=NC[[#This Row],[ATIVO]]),N(NC['[D/N']]="N"),N(NC[ID]&lt;NC[[#This Row],[ID]]),N(NC[PAR]=NC[[#This Row],[PAR]]), NC[LUCRO TMP]), 0)</f>
        <v>0</v>
      </c>
      <c r="AH12" s="15">
        <f>IF(NC[U] = "U", SUMPRODUCT(N(NC[ID]&lt;=NC[[#This Row],[ID]]),N(NC[DATA BASE]=NC[[#This Row],[DATA BASE]]), N(NC['[D/N']] = "N"),    NC[LUCRO P/ OP]), 0)</f>
        <v>0</v>
      </c>
      <c r="AI12" s="15">
        <f>IF(NC[U] = "U", SUMPRODUCT(N(NC[DATA BASE]=NC[[#This Row],[DATA BASE]]), N(NC['[D/N']] = "D"),    NC[LUCRO P/ OP]), 0)</f>
        <v>0</v>
      </c>
      <c r="AJ12" s="15">
        <f>IF(NC[U] = "U", SUMPRODUCT(N(NC[DATA BASE]=NC[[#This Row],[DATA BASE]]), N(NC['[D/N']] = "D"),    NC[IRRF FONTE]), 0)</f>
        <v>0</v>
      </c>
    </row>
    <row r="13" spans="1:36" ht="11.25" customHeight="1" x14ac:dyDescent="0.2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3" s="15">
        <f>NC[QTDE]*NC[PREÇO]</f>
        <v>168</v>
      </c>
      <c r="O1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P1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1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1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13" s="15">
        <f>SETUP!$E$3 * IF(NC[PARCIAL] &gt; 0, NC[QTDE] / NC[PARCIAL], 1)</f>
        <v>14.9</v>
      </c>
      <c r="T13" s="15">
        <f>SUMPRODUCT(N(NC[DATA]=NC[[#This Row],[DATA]]),N(NC[ID]&lt;=NC[[#This Row],[ID]]), NC[CORR])</f>
        <v>14.9</v>
      </c>
      <c r="U13" s="15">
        <f>TRUNC(NC[CORRETAGEM]*SETUP!$F$3,2)</f>
        <v>0.28999999999999998</v>
      </c>
      <c r="V13" s="15">
        <f>ROUND(NC[CORRETAGEM]*SETUP!$G$3,2)</f>
        <v>0.57999999999999996</v>
      </c>
      <c r="W13" s="15">
        <f>NC[VALOR LÍQUIDO DAS OPERAÇÕES]-NC[TAXA DE LIQUIDAÇÃO]-NC[EMOLUMENTOS]-NC[TAXA DE REGISTRO]-NC[CORRETAGEM]-NC[ISS]-IF(NC['[D/N']]="D",    0,    NC[OUTRAS BOVESPA]) - NC[AJUSTE]</f>
        <v>152.01999999999998</v>
      </c>
      <c r="X13" s="15">
        <f>IF(AND(NC['[D/N']]="D",    NC[T]="CV",    NC[LÍQUIDO BASE] &gt; 0),    TRUNC(NC[LÍQUIDO BASE]*0.01, 2),    0)</f>
        <v>0</v>
      </c>
      <c r="Y13" s="15">
        <f>IF(NC[PREÇO] &gt; 0,    NC[LÍQUIDO BASE]-SUMPRODUCT(N(NC[DATA]=NC[[#This Row],[DATA]]),    NC[IRRF FONTE]),    0)</f>
        <v>152.01999999999998</v>
      </c>
      <c r="Z13" s="20">
        <f>NC[LÍQUIDO]-SUMPRODUCT(N(NC[DATA]=NC[[#This Row],[DATA]]),N(NC[ID]=(NC[[#This Row],[ID]]-1)),NC[LÍQUIDO])</f>
        <v>152.01999999999998</v>
      </c>
      <c r="AA13" s="15">
        <f>IF(NC[T] = "VC", ABS(NC[VALOR OP]) / NC[QTDE], NC[VALOR OP]/NC[QTDE])</f>
        <v>0.19002499999999997</v>
      </c>
      <c r="AB13" s="15">
        <f>TRUNC(IF(OR(NC[T]="CV",NC[T]="VV"),     N13*SETUP!$H$3,     0),2)</f>
        <v>0</v>
      </c>
      <c r="AC1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E1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0.19002499999999997</v>
      </c>
      <c r="AF1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-177.33000000000004</v>
      </c>
      <c r="AG13" s="15">
        <f>IF(NC[LUCRO TMP] &lt;&gt; 0, NC[LUCRO TMP] - SUMPRODUCT(N(NC[ATIVO]=NC[[#This Row],[ATIVO]]),N(NC['[D/N']]="N"),N(NC[ID]&lt;NC[[#This Row],[ID]]),N(NC[PAR]=NC[[#This Row],[PAR]]), NC[LUCRO TMP]), 0)</f>
        <v>-177.33000000000004</v>
      </c>
      <c r="AH13" s="15">
        <f>IF(NC[U] = "U", SUMPRODUCT(N(NC[ID]&lt;=NC[[#This Row],[ID]]),N(NC[DATA BASE]=NC[[#This Row],[DATA BASE]]), N(NC['[D/N']] = "N"),    NC[LUCRO P/ OP]), 0)</f>
        <v>0</v>
      </c>
      <c r="AI13" s="15">
        <f>IF(NC[U] = "U", SUMPRODUCT(N(NC[DATA BASE]=NC[[#This Row],[DATA BASE]]), N(NC['[D/N']] = "D"),    NC[LUCRO P/ OP]), 0)</f>
        <v>0</v>
      </c>
      <c r="AJ13" s="15">
        <f>IF(NC[U] = "U", SUMPRODUCT(N(NC[DATA BASE]=NC[[#This Row],[DATA BASE]]), N(NC['[D/N']] = "D"),    NC[IRRF FONTE]), 0)</f>
        <v>0</v>
      </c>
    </row>
    <row r="14" spans="1:36" ht="11.25" customHeight="1" x14ac:dyDescent="0.2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4" s="15">
        <f>NC[QTDE]*NC[PREÇO]</f>
        <v>320</v>
      </c>
      <c r="O1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P1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Q1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R1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S14" s="15">
        <f>SETUP!$E$3 * IF(NC[PARCIAL] &gt; 0, NC[QTDE] / NC[PARCIAL], 1)</f>
        <v>14.9</v>
      </c>
      <c r="T14" s="15">
        <f>SUMPRODUCT(N(NC[DATA]=NC[[#This Row],[DATA]]),N(NC[ID]&lt;=NC[[#This Row],[ID]]), NC[CORR])</f>
        <v>29.8</v>
      </c>
      <c r="U14" s="15">
        <f>TRUNC(NC[CORRETAGEM]*SETUP!$F$3,2)</f>
        <v>0.59</v>
      </c>
      <c r="V14" s="15">
        <f>ROUND(NC[CORRETAGEM]*SETUP!$G$3,2)</f>
        <v>1.1599999999999999</v>
      </c>
      <c r="W14" s="15">
        <f>NC[VALOR LÍQUIDO DAS OPERAÇÕES]-NC[TAXA DE LIQUIDAÇÃO]-NC[EMOLUMENTOS]-NC[TAXA DE REGISTRO]-NC[CORRETAGEM]-NC[ISS]-IF(NC['[D/N']]="D",    0,    NC[OUTRAS BOVESPA]) - NC[AJUSTE]</f>
        <v>455.81</v>
      </c>
      <c r="X14" s="15">
        <f>IF(AND(NC['[D/N']]="D",    NC[T]="CV",    NC[LÍQUIDO BASE] &gt; 0),    TRUNC(NC[LÍQUIDO BASE]*0.01, 2),    0)</f>
        <v>0</v>
      </c>
      <c r="Y14" s="15">
        <f>IF(NC[PREÇO] &gt; 0,    NC[LÍQUIDO BASE]-SUMPRODUCT(N(NC[DATA]=NC[[#This Row],[DATA]]),    NC[IRRF FONTE]),    0)</f>
        <v>455.81</v>
      </c>
      <c r="Z14" s="20">
        <f>NC[LÍQUIDO]-SUMPRODUCT(N(NC[DATA]=NC[[#This Row],[DATA]]),N(NC[ID]=(NC[[#This Row],[ID]]-1)),NC[LÍQUIDO])</f>
        <v>303.79000000000002</v>
      </c>
      <c r="AA14" s="15">
        <f>IF(NC[T] = "VC", ABS(NC[VALOR OP]) / NC[QTDE], NC[VALOR OP]/NC[QTDE])</f>
        <v>0.60758000000000001</v>
      </c>
      <c r="AB14" s="15">
        <f>TRUNC(IF(OR(NC[T]="CV",NC[T]="VV"),     N14*SETUP!$H$3,     0),2)</f>
        <v>0.01</v>
      </c>
      <c r="AC1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E1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0.60758000000000001</v>
      </c>
      <c r="AF1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-72.44999999999996</v>
      </c>
      <c r="AG14" s="15">
        <f>IF(NC[LUCRO TMP] &lt;&gt; 0, NC[LUCRO TMP] - SUMPRODUCT(N(NC[ATIVO]=NC[[#This Row],[ATIVO]]),N(NC['[D/N']]="N"),N(NC[ID]&lt;NC[[#This Row],[ID]]),N(NC[PAR]=NC[[#This Row],[PAR]]), NC[LUCRO TMP]), 0)</f>
        <v>-72.44999999999996</v>
      </c>
      <c r="AH14" s="15">
        <f>IF(NC[U] = "U", SUMPRODUCT(N(NC[ID]&lt;=NC[[#This Row],[ID]]),N(NC[DATA BASE]=NC[[#This Row],[DATA BASE]]), N(NC['[D/N']] = "N"),    NC[LUCRO P/ OP]), 0)</f>
        <v>0</v>
      </c>
      <c r="AI14" s="15">
        <f>IF(NC[U] = "U", SUMPRODUCT(N(NC[DATA BASE]=NC[[#This Row],[DATA BASE]]), N(NC['[D/N']] = "D"),    NC[LUCRO P/ OP]), 0)</f>
        <v>0</v>
      </c>
      <c r="AJ14" s="15">
        <f>IF(NC[U] = "U", SUMPRODUCT(N(NC[DATA BASE]=NC[[#This Row],[DATA BASE]]), N(NC['[D/N']] = "D"),    NC[IRRF FONTE]), 0)</f>
        <v>0</v>
      </c>
    </row>
    <row r="15" spans="1:36" x14ac:dyDescent="0.2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5" s="15">
        <f>NC[QTDE]*NC[PREÇO]</f>
        <v>106</v>
      </c>
      <c r="O1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P1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1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1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S15" s="15">
        <f>SETUP!$E$3 * IF(NC[PARCIAL] &gt; 0, NC[QTDE] / NC[PARCIAL], 1)</f>
        <v>14.9</v>
      </c>
      <c r="T15" s="15">
        <f>SUMPRODUCT(N(NC[DATA]=NC[[#This Row],[DATA]]),N(NC[ID]&lt;=NC[[#This Row],[ID]]), NC[CORR])</f>
        <v>44.7</v>
      </c>
      <c r="U15" s="15">
        <f>TRUNC(NC[CORRETAGEM]*SETUP!$F$3,2)</f>
        <v>0.89</v>
      </c>
      <c r="V15" s="15">
        <f>ROUND(NC[CORRETAGEM]*SETUP!$G$3,2)</f>
        <v>1.74</v>
      </c>
      <c r="W15" s="15">
        <f>NC[VALOR LÍQUIDO DAS OPERAÇÕES]-NC[TAXA DE LIQUIDAÇÃO]-NC[EMOLUMENTOS]-NC[TAXA DE REGISTRO]-NC[CORRETAGEM]-NC[ISS]-IF(NC['[D/N']]="D",    0,    NC[OUTRAS BOVESPA]) - NC[AJUSTE]</f>
        <v>545.89</v>
      </c>
      <c r="X15" s="15">
        <f>IF(AND(NC['[D/N']]="D",    NC[T]="CV",    NC[LÍQUIDO BASE] &gt; 0),    TRUNC(NC[LÍQUIDO BASE]*0.01, 2),    0)</f>
        <v>0</v>
      </c>
      <c r="Y15" s="15">
        <f>IF(NC[PREÇO] &gt; 0,    NC[LÍQUIDO BASE]-SUMPRODUCT(N(NC[DATA]=NC[[#This Row],[DATA]]),    NC[IRRF FONTE]),    0)</f>
        <v>545.89</v>
      </c>
      <c r="Z15" s="20">
        <f>NC[LÍQUIDO]-SUMPRODUCT(N(NC[DATA]=NC[[#This Row],[DATA]]),N(NC[ID]=(NC[[#This Row],[ID]]-1)),NC[LÍQUIDO])</f>
        <v>90.079999999999984</v>
      </c>
      <c r="AA15" s="15">
        <f>IF(NC[T] = "VC", ABS(NC[VALOR OP]) / NC[QTDE], NC[VALOR OP]/NC[QTDE])</f>
        <v>0.90079999999999982</v>
      </c>
      <c r="AB15" s="15">
        <f>TRUNC(IF(OR(NC[T]="CV",NC[T]="VV"),     N15*SETUP!$H$3,     0),2)</f>
        <v>0</v>
      </c>
      <c r="AC1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1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E1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0.90079999999999982</v>
      </c>
      <c r="AF15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2.0900000000000252</v>
      </c>
      <c r="AG15" s="15">
        <f>IF(NC[LUCRO TMP] &lt;&gt; 0, NC[LUCRO TMP] - SUMPRODUCT(N(NC[ATIVO]=NC[[#This Row],[ATIVO]]),N(NC['[D/N']]="N"),N(NC[ID]&lt;NC[[#This Row],[ID]]),N(NC[PAR]=NC[[#This Row],[PAR]]), NC[LUCRO TMP]), 0)</f>
        <v>2.0900000000000252</v>
      </c>
      <c r="AH15" s="15">
        <f>IF(NC[U] = "U", SUMPRODUCT(N(NC[ID]&lt;=NC[[#This Row],[ID]]),N(NC[DATA BASE]=NC[[#This Row],[DATA BASE]]), N(NC['[D/N']] = "N"),    NC[LUCRO P/ OP]), 0)</f>
        <v>0</v>
      </c>
      <c r="AI15" s="15">
        <f>IF(NC[U] = "U", SUMPRODUCT(N(NC[DATA BASE]=NC[[#This Row],[DATA BASE]]), N(NC['[D/N']] = "D"),    NC[LUCRO P/ OP]), 0)</f>
        <v>0</v>
      </c>
      <c r="AJ15" s="15">
        <f>IF(NC[U] = "U", SUMPRODUCT(N(NC[DATA BASE]=NC[[#This Row],[DATA BASE]]), N(NC['[D/N']] = "D"),    NC[IRRF FONTE]), 0)</f>
        <v>0</v>
      </c>
    </row>
    <row r="16" spans="1:36" ht="11.25" customHeight="1" x14ac:dyDescent="0.2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6" s="15">
        <f>NC[QTDE]*NC[PREÇO]</f>
        <v>420</v>
      </c>
      <c r="O1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P1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1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R1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S16" s="15">
        <f>SETUP!$E$3 * IF(NC[PARCIAL] &gt; 0, NC[QTDE] / NC[PARCIAL], 1)</f>
        <v>14.9</v>
      </c>
      <c r="T16" s="15">
        <f>SUMPRODUCT(N(NC[DATA]=NC[[#This Row],[DATA]]),N(NC[ID]&lt;=NC[[#This Row],[ID]]), NC[CORR])</f>
        <v>14.9</v>
      </c>
      <c r="U16" s="15">
        <f>TRUNC(NC[CORRETAGEM]*SETUP!$F$3,2)</f>
        <v>0.28999999999999998</v>
      </c>
      <c r="V16" s="15">
        <f>ROUND(NC[CORRETAGEM]*SETUP!$G$3,2)</f>
        <v>0.57999999999999996</v>
      </c>
      <c r="W16" s="15">
        <f>NC[VALOR LÍQUIDO DAS OPERAÇÕES]-NC[TAXA DE LIQUIDAÇÃO]-NC[EMOLUMENTOS]-NC[TAXA DE REGISTRO]-NC[CORRETAGEM]-NC[ISS]-IF(NC['[D/N']]="D",    0,    NC[OUTRAS BOVESPA]) - NC[AJUSTE]</f>
        <v>-436.32</v>
      </c>
      <c r="X16" s="15">
        <f>IF(AND(NC['[D/N']]="D",    NC[T]="CV",    NC[LÍQUIDO BASE] &gt; 0),    TRUNC(NC[LÍQUIDO BASE]*0.01, 2),    0)</f>
        <v>0</v>
      </c>
      <c r="Y16" s="15">
        <f>IF(NC[PREÇO] &gt; 0,    NC[LÍQUIDO BASE]-SUMPRODUCT(N(NC[DATA]=NC[[#This Row],[DATA]]),    NC[IRRF FONTE]),    0)</f>
        <v>-436.32</v>
      </c>
      <c r="Z16" s="20">
        <f>NC[LÍQUIDO]-SUMPRODUCT(N(NC[DATA]=NC[[#This Row],[DATA]]),N(NC[ID]=(NC[[#This Row],[ID]]-1)),NC[LÍQUIDO])</f>
        <v>-436.32</v>
      </c>
      <c r="AA16" s="15">
        <f>IF(NC[T] = "VC", ABS(NC[VALOR OP]) / NC[QTDE], NC[VALOR OP]/NC[QTDE])</f>
        <v>-0.62331428571428571</v>
      </c>
      <c r="AB16" s="15">
        <f>TRUNC(IF(OR(NC[T]="CV",NC[T]="VV"),     N16*SETUP!$H$3,     0),2)</f>
        <v>0</v>
      </c>
      <c r="AC1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D1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E1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6" s="15">
        <f>IF(NC[LUCRO TMP] &lt;&gt; 0, NC[LUCRO TMP] - SUMPRODUCT(N(NC[ATIVO]=NC[[#This Row],[ATIVO]]),N(NC['[D/N']]="N"),N(NC[ID]&lt;NC[[#This Row],[ID]]),N(NC[PAR]=NC[[#This Row],[PAR]]), NC[LUCRO TMP]), 0)</f>
        <v>0</v>
      </c>
      <c r="AH16" s="15">
        <f>IF(NC[U] = "U", SUMPRODUCT(N(NC[ID]&lt;=NC[[#This Row],[ID]]),N(NC[DATA BASE]=NC[[#This Row],[DATA BASE]]), N(NC['[D/N']] = "N"),    NC[LUCRO P/ OP]), 0)</f>
        <v>0</v>
      </c>
      <c r="AI16" s="15">
        <f>IF(NC[U] = "U", SUMPRODUCT(N(NC[DATA BASE]=NC[[#This Row],[DATA BASE]]), N(NC['[D/N']] = "D"),    NC[LUCRO P/ OP]), 0)</f>
        <v>0</v>
      </c>
      <c r="AJ16" s="15">
        <f>IF(NC[U] = "U", SUMPRODUCT(N(NC[DATA BASE]=NC[[#This Row],[DATA BASE]]), N(NC['[D/N']] = "D"),    NC[IRRF FONTE]), 0)</f>
        <v>0</v>
      </c>
    </row>
    <row r="17" spans="1:36" ht="11.25" customHeight="1" x14ac:dyDescent="0.2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7" s="15">
        <f>NC[QTDE]*NC[PREÇO]</f>
        <v>442</v>
      </c>
      <c r="O1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P1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1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R1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S17" s="15">
        <f>SETUP!$E$3 * IF(NC[PARCIAL] &gt; 0, NC[QTDE] / NC[PARCIAL], 1)</f>
        <v>14.9</v>
      </c>
      <c r="T17" s="15">
        <f>SUMPRODUCT(N(NC[DATA]=NC[[#This Row],[DATA]]),N(NC[ID]&lt;=NC[[#This Row],[ID]]), NC[CORR])</f>
        <v>14.9</v>
      </c>
      <c r="U17" s="15">
        <f>TRUNC(NC[CORRETAGEM]*SETUP!$F$3,2)</f>
        <v>0.28999999999999998</v>
      </c>
      <c r="V17" s="15">
        <f>ROUND(NC[CORRETAGEM]*SETUP!$G$3,2)</f>
        <v>0.57999999999999996</v>
      </c>
      <c r="W17" s="15">
        <f>NC[VALOR LÍQUIDO DAS OPERAÇÕES]-NC[TAXA DE LIQUIDAÇÃO]-NC[EMOLUMENTOS]-NC[TAXA DE REGISTRO]-NC[CORRETAGEM]-NC[ISS]-IF(NC['[D/N']]="D",    0,    NC[OUTRAS BOVESPA]) - NC[AJUSTE]</f>
        <v>-458.35</v>
      </c>
      <c r="X17" s="15">
        <f>IF(AND(NC['[D/N']]="D",    NC[T]="CV",    NC[LÍQUIDO BASE] &gt; 0),    TRUNC(NC[LÍQUIDO BASE]*0.01, 2),    0)</f>
        <v>0</v>
      </c>
      <c r="Y17" s="15">
        <f>IF(NC[PREÇO] &gt; 0,    NC[LÍQUIDO BASE]-SUMPRODUCT(N(NC[DATA]=NC[[#This Row],[DATA]]),    NC[IRRF FONTE]),    0)</f>
        <v>-458.35</v>
      </c>
      <c r="Z17" s="20">
        <f>NC[LÍQUIDO]-SUMPRODUCT(N(NC[DATA]=NC[[#This Row],[DATA]]),N(NC[ID]=(NC[[#This Row],[ID]]-1)),NC[LÍQUIDO])</f>
        <v>-458.35</v>
      </c>
      <c r="AA17" s="15">
        <f>IF(NC[T] = "VC", ABS(NC[VALOR OP]) / NC[QTDE], NC[VALOR OP]/NC[QTDE])</f>
        <v>-0.26961764705882352</v>
      </c>
      <c r="AB17" s="15">
        <f>TRUNC(IF(OR(NC[T]="CV",NC[T]="VV"),     N17*SETUP!$H$3,     0),2)</f>
        <v>0</v>
      </c>
      <c r="AC1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D1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E1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7" s="15">
        <f>IF(NC[LUCRO TMP] &lt;&gt; 0, NC[LUCRO TMP] - SUMPRODUCT(N(NC[ATIVO]=NC[[#This Row],[ATIVO]]),N(NC['[D/N']]="N"),N(NC[ID]&lt;NC[[#This Row],[ID]]),N(NC[PAR]=NC[[#This Row],[PAR]]), NC[LUCRO TMP]), 0)</f>
        <v>0</v>
      </c>
      <c r="AH17" s="15">
        <f>IF(NC[U] = "U", SUMPRODUCT(N(NC[ID]&lt;=NC[[#This Row],[ID]]),N(NC[DATA BASE]=NC[[#This Row],[DATA BASE]]), N(NC['[D/N']] = "N"),    NC[LUCRO P/ OP]), 0)</f>
        <v>0</v>
      </c>
      <c r="AI17" s="15">
        <f>IF(NC[U] = "U", SUMPRODUCT(N(NC[DATA BASE]=NC[[#This Row],[DATA BASE]]), N(NC['[D/N']] = "D"),    NC[LUCRO P/ OP]), 0)</f>
        <v>0</v>
      </c>
      <c r="AJ17" s="15">
        <f>IF(NC[U] = "U", SUMPRODUCT(N(NC[DATA BASE]=NC[[#This Row],[DATA BASE]]), N(NC['[D/N']] = "D"),    NC[IRRF FONTE]), 0)</f>
        <v>0</v>
      </c>
    </row>
    <row r="18" spans="1:36" ht="11.25" customHeight="1" x14ac:dyDescent="0.2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8" s="15">
        <f>NC[QTDE]*NC[PREÇO]</f>
        <v>119.00000000000001</v>
      </c>
      <c r="O1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P1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1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R1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S18" s="15">
        <f>SETUP!$E$3 * IF(NC[PARCIAL] &gt; 0, NC[QTDE] / NC[PARCIAL], 1)</f>
        <v>14.9</v>
      </c>
      <c r="T18" s="15">
        <f>SUMPRODUCT(N(NC[DATA]=NC[[#This Row],[DATA]]),N(NC[ID]&lt;=NC[[#This Row],[ID]]), NC[CORR])</f>
        <v>14.9</v>
      </c>
      <c r="U18" s="15">
        <f>TRUNC(NC[CORRETAGEM]*SETUP!$F$3,2)</f>
        <v>0.28999999999999998</v>
      </c>
      <c r="V18" s="15">
        <f>ROUND(NC[CORRETAGEM]*SETUP!$G$3,2)</f>
        <v>0.57999999999999996</v>
      </c>
      <c r="W18" s="15">
        <f>NC[VALOR LÍQUIDO DAS OPERAÇÕES]-NC[TAXA DE LIQUIDAÇÃO]-NC[EMOLUMENTOS]-NC[TAXA DE REGISTRO]-NC[CORRETAGEM]-NC[ISS]-IF(NC['[D/N']]="D",    0,    NC[OUTRAS BOVESPA]) - NC[AJUSTE]</f>
        <v>103.08</v>
      </c>
      <c r="X18" s="15">
        <f>IF(AND(NC['[D/N']]="D",    NC[T]="CV",    NC[LÍQUIDO BASE] &gt; 0),    TRUNC(NC[LÍQUIDO BASE]*0.01, 2),    0)</f>
        <v>0</v>
      </c>
      <c r="Y18" s="15">
        <f>IF(NC[PREÇO] &gt; 0,    NC[LÍQUIDO BASE]-SUMPRODUCT(N(NC[DATA]=NC[[#This Row],[DATA]]),    NC[IRRF FONTE]),    0)</f>
        <v>103.08</v>
      </c>
      <c r="Z18" s="20">
        <f>NC[LÍQUIDO]-SUMPRODUCT(N(NC[DATA]=NC[[#This Row],[DATA]]),N(NC[ID]=(NC[[#This Row],[ID]]-1)),NC[LÍQUIDO])</f>
        <v>103.08</v>
      </c>
      <c r="AA18" s="15">
        <f>IF(NC[T] = "VC", ABS(NC[VALOR OP]) / NC[QTDE], NC[VALOR OP]/NC[QTDE])</f>
        <v>0.14725714285714286</v>
      </c>
      <c r="AB18" s="15">
        <f>TRUNC(IF(OR(NC[T]="CV",NC[T]="VV"),     N18*SETUP!$H$3,     0),2)</f>
        <v>0</v>
      </c>
      <c r="AC1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E1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0.14725714285714286</v>
      </c>
      <c r="AF1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-333.24</v>
      </c>
      <c r="AG18" s="15">
        <f>IF(NC[LUCRO TMP] &lt;&gt; 0, NC[LUCRO TMP] - SUMPRODUCT(N(NC[ATIVO]=NC[[#This Row],[ATIVO]]),N(NC['[D/N']]="N"),N(NC[ID]&lt;NC[[#This Row],[ID]]),N(NC[PAR]=NC[[#This Row],[PAR]]), NC[LUCRO TMP]), 0)</f>
        <v>-333.24</v>
      </c>
      <c r="AH18" s="15">
        <f>IF(NC[U] = "U", SUMPRODUCT(N(NC[ID]&lt;=NC[[#This Row],[ID]]),N(NC[DATA BASE]=NC[[#This Row],[DATA BASE]]), N(NC['[D/N']] = "N"),    NC[LUCRO P/ OP]), 0)</f>
        <v>0</v>
      </c>
      <c r="AI18" s="15">
        <f>IF(NC[U] = "U", SUMPRODUCT(N(NC[DATA BASE]=NC[[#This Row],[DATA BASE]]), N(NC['[D/N']] = "D"),    NC[LUCRO P/ OP]), 0)</f>
        <v>0</v>
      </c>
      <c r="AJ18" s="15">
        <f>IF(NC[U] = "U", SUMPRODUCT(N(NC[DATA BASE]=NC[[#This Row],[DATA BASE]]), N(NC['[D/N']] = "D"),    NC[IRRF FONTE]), 0)</f>
        <v>0</v>
      </c>
    </row>
    <row r="19" spans="1:36" ht="11.25" customHeight="1" x14ac:dyDescent="0.2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9" s="15">
        <f>NC[QTDE]*NC[PREÇO]</f>
        <v>136</v>
      </c>
      <c r="O1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P1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1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1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19" s="15">
        <f>SETUP!$E$3 * IF(NC[PARCIAL] &gt; 0, NC[QTDE] / NC[PARCIAL], 1)</f>
        <v>14.9</v>
      </c>
      <c r="T19" s="15">
        <f>SUMPRODUCT(N(NC[DATA]=NC[[#This Row],[DATA]]),N(NC[ID]&lt;=NC[[#This Row],[ID]]), NC[CORR])</f>
        <v>14.9</v>
      </c>
      <c r="U19" s="15">
        <f>TRUNC(NC[CORRETAGEM]*SETUP!$F$3,2)</f>
        <v>0.28999999999999998</v>
      </c>
      <c r="V19" s="15">
        <f>ROUND(NC[CORRETAGEM]*SETUP!$G$3,2)</f>
        <v>0.57999999999999996</v>
      </c>
      <c r="W19" s="15">
        <f>NC[VALOR LÍQUIDO DAS OPERAÇÕES]-NC[TAXA DE LIQUIDAÇÃO]-NC[EMOLUMENTOS]-NC[TAXA DE REGISTRO]-NC[CORRETAGEM]-NC[ISS]-IF(NC['[D/N']]="D",    0,    NC[OUTRAS BOVESPA]) - NC[AJUSTE]</f>
        <v>120.05999999999997</v>
      </c>
      <c r="X19" s="15">
        <f>IF(AND(NC['[D/N']]="D",    NC[T]="CV",    NC[LÍQUIDO BASE] &gt; 0),    TRUNC(NC[LÍQUIDO BASE]*0.01, 2),    0)</f>
        <v>0</v>
      </c>
      <c r="Y19" s="15">
        <f>IF(NC[PREÇO] &gt; 0,    NC[LÍQUIDO BASE]-SUMPRODUCT(N(NC[DATA]=NC[[#This Row],[DATA]]),    NC[IRRF FONTE]),    0)</f>
        <v>120.05999999999997</v>
      </c>
      <c r="Z19" s="20">
        <f>NC[LÍQUIDO]-SUMPRODUCT(N(NC[DATA]=NC[[#This Row],[DATA]]),N(NC[ID]=(NC[[#This Row],[ID]]-1)),NC[LÍQUIDO])</f>
        <v>120.05999999999997</v>
      </c>
      <c r="AA19" s="15">
        <f>IF(NC[T] = "VC", ABS(NC[VALOR OP]) / NC[QTDE], NC[VALOR OP]/NC[QTDE])</f>
        <v>7.0623529411764696E-2</v>
      </c>
      <c r="AB19" s="15">
        <f>TRUNC(IF(OR(NC[T]="CV",NC[T]="VV"),     N19*SETUP!$H$3,     0),2)</f>
        <v>0</v>
      </c>
      <c r="AC1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E1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7.0623529411764696E-2</v>
      </c>
      <c r="AF1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-338.29</v>
      </c>
      <c r="AG19" s="15">
        <f>IF(NC[LUCRO TMP] &lt;&gt; 0, NC[LUCRO TMP] - SUMPRODUCT(N(NC[ATIVO]=NC[[#This Row],[ATIVO]]),N(NC['[D/N']]="N"),N(NC[ID]&lt;NC[[#This Row],[ID]]),N(NC[PAR]=NC[[#This Row],[PAR]]), NC[LUCRO TMP]), 0)</f>
        <v>-338.29</v>
      </c>
      <c r="AH19" s="15">
        <f>IF(NC[U] = "U", SUMPRODUCT(N(NC[ID]&lt;=NC[[#This Row],[ID]]),N(NC[DATA BASE]=NC[[#This Row],[DATA BASE]]), N(NC['[D/N']] = "N"),    NC[LUCRO P/ OP]), 0)</f>
        <v>0</v>
      </c>
      <c r="AI19" s="15">
        <f>IF(NC[U] = "U", SUMPRODUCT(N(NC[DATA BASE]=NC[[#This Row],[DATA BASE]]), N(NC['[D/N']] = "D"),    NC[LUCRO P/ OP]), 0)</f>
        <v>0</v>
      </c>
      <c r="AJ19" s="15">
        <f>IF(NC[U] = "U", SUMPRODUCT(N(NC[DATA BASE]=NC[[#This Row],[DATA BASE]]), N(NC['[D/N']] = "D"),    NC[IRRF FONTE]), 0)</f>
        <v>0</v>
      </c>
    </row>
    <row r="20" spans="1:36" ht="11.25" customHeight="1" x14ac:dyDescent="0.2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0" s="15">
        <f>NC[QTDE]*NC[PREÇO]</f>
        <v>456</v>
      </c>
      <c r="O2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P2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2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2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S20" s="15">
        <f>SETUP!$E$3 * IF(NC[PARCIAL] &gt; 0, NC[QTDE] / NC[PARCIAL], 1)</f>
        <v>14.9</v>
      </c>
      <c r="T20" s="15">
        <f>SUMPRODUCT(N(NC[DATA]=NC[[#This Row],[DATA]]),N(NC[ID]&lt;=NC[[#This Row],[ID]]), NC[CORR])</f>
        <v>29.8</v>
      </c>
      <c r="U20" s="15">
        <f>TRUNC(NC[CORRETAGEM]*SETUP!$F$3,2)</f>
        <v>0.59</v>
      </c>
      <c r="V20" s="15">
        <f>ROUND(NC[CORRETAGEM]*SETUP!$G$3,2)</f>
        <v>1.1599999999999999</v>
      </c>
      <c r="W20" s="15">
        <f>NC[VALOR LÍQUIDO DAS OPERAÇÕES]-NC[TAXA DE LIQUIDAÇÃO]-NC[EMOLUMENTOS]-NC[TAXA DE REGISTRO]-NC[CORRETAGEM]-NC[ISS]-IF(NC['[D/N']]="D",    0,    NC[OUTRAS BOVESPA]) - NC[AJUSTE]</f>
        <v>-352.33000000000004</v>
      </c>
      <c r="X20" s="15">
        <f>IF(AND(NC['[D/N']]="D",    NC[T]="CV",    NC[LÍQUIDO BASE] &gt; 0),    TRUNC(NC[LÍQUIDO BASE]*0.01, 2),    0)</f>
        <v>0</v>
      </c>
      <c r="Y20" s="15">
        <f>IF(NC[PREÇO] &gt; 0,    NC[LÍQUIDO BASE]-SUMPRODUCT(N(NC[DATA]=NC[[#This Row],[DATA]]),    NC[IRRF FONTE]),    0)</f>
        <v>-352.33000000000004</v>
      </c>
      <c r="Z20" s="20">
        <f>NC[LÍQUIDO]-SUMPRODUCT(N(NC[DATA]=NC[[#This Row],[DATA]]),N(NC[ID]=(NC[[#This Row],[ID]]-1)),NC[LÍQUIDO])</f>
        <v>-472.39</v>
      </c>
      <c r="AA20" s="15">
        <f>IF(NC[T] = "VC", ABS(NC[VALOR OP]) / NC[QTDE], NC[VALOR OP]/NC[QTDE])</f>
        <v>-0.24862631578947367</v>
      </c>
      <c r="AB20" s="15">
        <f>TRUNC(IF(OR(NC[T]="CV",NC[T]="VV"),     N20*SETUP!$H$3,     0),2)</f>
        <v>0</v>
      </c>
      <c r="AC2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D2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E2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0" s="15">
        <f>IF(NC[LUCRO TMP] &lt;&gt; 0, NC[LUCRO TMP] - SUMPRODUCT(N(NC[ATIVO]=NC[[#This Row],[ATIVO]]),N(NC['[D/N']]="N"),N(NC[ID]&lt;NC[[#This Row],[ID]]),N(NC[PAR]=NC[[#This Row],[PAR]]), NC[LUCRO TMP]), 0)</f>
        <v>0</v>
      </c>
      <c r="AH20" s="15">
        <f>IF(NC[U] = "U", SUMPRODUCT(N(NC[ID]&lt;=NC[[#This Row],[ID]]),N(NC[DATA BASE]=NC[[#This Row],[DATA BASE]]), N(NC['[D/N']] = "N"),    NC[LUCRO P/ OP]), 0)</f>
        <v>-656.81000000000017</v>
      </c>
      <c r="AI20" s="15">
        <f>IF(NC[U] = "U", SUMPRODUCT(N(NC[DATA BASE]=NC[[#This Row],[DATA BASE]]), N(NC['[D/N']] = "D"),    NC[LUCRO P/ OP]), 0)</f>
        <v>478.50999999999988</v>
      </c>
      <c r="AJ20" s="15">
        <f>IF(NC[U] = "U", SUMPRODUCT(N(NC[DATA BASE]=NC[[#This Row],[DATA BASE]]), N(NC['[D/N']] = "D"),    NC[IRRF FONTE]), 0)</f>
        <v>4.78</v>
      </c>
    </row>
    <row r="21" spans="1:36" x14ac:dyDescent="0.2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21" s="15">
        <f>NC[QTDE]*NC[PREÇO]</f>
        <v>456</v>
      </c>
      <c r="O2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P2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2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R2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S21" s="15">
        <f>SETUP!$E$3 * IF(NC[PARCIAL] &gt; 0, NC[QTDE] / NC[PARCIAL], 1)</f>
        <v>14.9</v>
      </c>
      <c r="T21" s="15">
        <f>SUMPRODUCT(N(NC[DATA]=NC[[#This Row],[DATA]]),N(NC[ID]&lt;=NC[[#This Row],[ID]]), NC[CORR])</f>
        <v>14.9</v>
      </c>
      <c r="U21" s="15">
        <f>TRUNC(NC[CORRETAGEM]*SETUP!$F$3,2)</f>
        <v>0.28999999999999998</v>
      </c>
      <c r="V21" s="15">
        <f>ROUND(NC[CORRETAGEM]*SETUP!$G$3,2)</f>
        <v>0.57999999999999996</v>
      </c>
      <c r="W21" s="15">
        <f>NC[VALOR LÍQUIDO DAS OPERAÇÕES]-NC[TAXA DE LIQUIDAÇÃO]-NC[EMOLUMENTOS]-NC[TAXA DE REGISTRO]-NC[CORRETAGEM]-NC[ISS]-IF(NC['[D/N']]="D",    0,    NC[OUTRAS BOVESPA]) - NC[AJUSTE]</f>
        <v>-472.36</v>
      </c>
      <c r="X21" s="15">
        <f>IF(AND(NC['[D/N']]="D",    NC[T]="CV",    NC[LÍQUIDO BASE] &gt; 0),    TRUNC(NC[LÍQUIDO BASE]*0.01, 2),    0)</f>
        <v>0</v>
      </c>
      <c r="Y21" s="15">
        <f>IF(NC[PREÇO] &gt; 0,    NC[LÍQUIDO BASE]-SUMPRODUCT(N(NC[DATA]=NC[[#This Row],[DATA]]),    NC[IRRF FONTE]),    0)</f>
        <v>-472.36</v>
      </c>
      <c r="Z21" s="20">
        <f>NC[LÍQUIDO]-SUMPRODUCT(N(NC[DATA]=NC[[#This Row],[DATA]]),N(NC[ID]=(NC[[#This Row],[ID]]-1)),NC[LÍQUIDO])</f>
        <v>-472.36</v>
      </c>
      <c r="AA21" s="15">
        <f>IF(NC[T] = "VC", ABS(NC[VALOR OP]) / NC[QTDE], NC[VALOR OP]/NC[QTDE])</f>
        <v>-0.39363333333333334</v>
      </c>
      <c r="AB21" s="15">
        <f>TRUNC(IF(OR(NC[T]="CV",NC[T]="VV"),     N21*SETUP!$H$3,     0),2)</f>
        <v>0</v>
      </c>
      <c r="AC2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D2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E2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1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1" s="15">
        <f>IF(NC[LUCRO TMP] &lt;&gt; 0, NC[LUCRO TMP] - SUMPRODUCT(N(NC[ATIVO]=NC[[#This Row],[ATIVO]]),N(NC['[D/N']]="N"),N(NC[ID]&lt;NC[[#This Row],[ID]]),N(NC[PAR]=NC[[#This Row],[PAR]]), NC[LUCRO TMP]), 0)</f>
        <v>0</v>
      </c>
      <c r="AH21" s="15">
        <f>IF(NC[U] = "U", SUMPRODUCT(N(NC[ID]&lt;=NC[[#This Row],[ID]]),N(NC[DATA BASE]=NC[[#This Row],[DATA BASE]]), N(NC['[D/N']] = "N"),    NC[LUCRO P/ OP]), 0)</f>
        <v>0</v>
      </c>
      <c r="AI21" s="15">
        <f>IF(NC[U] = "U", SUMPRODUCT(N(NC[DATA BASE]=NC[[#This Row],[DATA BASE]]), N(NC['[D/N']] = "D"),    NC[LUCRO P/ OP]), 0)</f>
        <v>0</v>
      </c>
      <c r="AJ21" s="15">
        <f>IF(NC[U] = "U", SUMPRODUCT(N(NC[DATA BASE]=NC[[#This Row],[DATA BASE]]), N(NC['[D/N']] = "D"),    NC[IRRF FONTE]), 0)</f>
        <v>0</v>
      </c>
    </row>
    <row r="22" spans="1:36" ht="11.25" customHeight="1" x14ac:dyDescent="0.2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22" s="15">
        <f>NC[QTDE]*NC[PREÇO]</f>
        <v>480</v>
      </c>
      <c r="O2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P2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Q2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R2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S22" s="15">
        <f>SETUP!$E$3 * IF(NC[PARCIAL] &gt; 0, NC[QTDE] / NC[PARCIAL], 1)</f>
        <v>14.9</v>
      </c>
      <c r="T22" s="15">
        <f>SUMPRODUCT(N(NC[DATA]=NC[[#This Row],[DATA]]),N(NC[ID]&lt;=NC[[#This Row],[ID]]), NC[CORR])</f>
        <v>14.9</v>
      </c>
      <c r="U22" s="15">
        <f>TRUNC(NC[CORRETAGEM]*SETUP!$F$3,2)</f>
        <v>0.28999999999999998</v>
      </c>
      <c r="V22" s="15">
        <f>ROUND(NC[CORRETAGEM]*SETUP!$G$3,2)</f>
        <v>0.57999999999999996</v>
      </c>
      <c r="W22" s="15">
        <f>NC[VALOR LÍQUIDO DAS OPERAÇÕES]-NC[TAXA DE LIQUIDAÇÃO]-NC[EMOLUMENTOS]-NC[TAXA DE REGISTRO]-NC[CORRETAGEM]-NC[ISS]-IF(NC['[D/N']]="D",    0,    NC[OUTRAS BOVESPA]) - NC[AJUSTE]</f>
        <v>-496.4</v>
      </c>
      <c r="X22" s="15">
        <f>IF(AND(NC['[D/N']]="D",    NC[T]="CV",    NC[LÍQUIDO BASE] &gt; 0),    TRUNC(NC[LÍQUIDO BASE]*0.01, 2),    0)</f>
        <v>0</v>
      </c>
      <c r="Y22" s="15">
        <f>IF(NC[PREÇO] &gt; 0,    NC[LÍQUIDO BASE]-SUMPRODUCT(N(NC[DATA]=NC[[#This Row],[DATA]]),    NC[IRRF FONTE]),    0)</f>
        <v>-496.4</v>
      </c>
      <c r="Z22" s="20">
        <f>NC[LÍQUIDO]-SUMPRODUCT(N(NC[DATA]=NC[[#This Row],[DATA]]),N(NC[ID]=(NC[[#This Row],[ID]]-1)),NC[LÍQUIDO])</f>
        <v>-496.4</v>
      </c>
      <c r="AA22" s="15">
        <f>IF(NC[T] = "VC", ABS(NC[VALOR OP]) / NC[QTDE], NC[VALOR OP]/NC[QTDE])</f>
        <v>-0.16546666666666665</v>
      </c>
      <c r="AB22" s="15">
        <f>TRUNC(IF(OR(NC[T]="CV",NC[T]="VV"),     N22*SETUP!$H$3,     0),2)</f>
        <v>0</v>
      </c>
      <c r="AC2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D2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E2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2" s="15">
        <f>IF(NC[LUCRO TMP] &lt;&gt; 0, NC[LUCRO TMP] - SUMPRODUCT(N(NC[ATIVO]=NC[[#This Row],[ATIVO]]),N(NC['[D/N']]="N"),N(NC[ID]&lt;NC[[#This Row],[ID]]),N(NC[PAR]=NC[[#This Row],[PAR]]), NC[LUCRO TMP]), 0)</f>
        <v>0</v>
      </c>
      <c r="AH22" s="15">
        <f>IF(NC[U] = "U", SUMPRODUCT(N(NC[ID]&lt;=NC[[#This Row],[ID]]),N(NC[DATA BASE]=NC[[#This Row],[DATA BASE]]), N(NC['[D/N']] = "N"),    NC[LUCRO P/ OP]), 0)</f>
        <v>0</v>
      </c>
      <c r="AI22" s="15">
        <f>IF(NC[U] = "U", SUMPRODUCT(N(NC[DATA BASE]=NC[[#This Row],[DATA BASE]]), N(NC['[D/N']] = "D"),    NC[LUCRO P/ OP]), 0)</f>
        <v>0</v>
      </c>
      <c r="AJ22" s="15">
        <f>IF(NC[U] = "U", SUMPRODUCT(N(NC[DATA BASE]=NC[[#This Row],[DATA BASE]]), N(NC['[D/N']] = "D"),    NC[IRRF FONTE]), 0)</f>
        <v>0</v>
      </c>
    </row>
    <row r="23" spans="1:36" ht="11.25" customHeight="1" x14ac:dyDescent="0.2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3" s="15">
        <f>NC[QTDE]*NC[PREÇO]</f>
        <v>171</v>
      </c>
      <c r="O2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P2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2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2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23" s="15">
        <f>SETUP!$E$3 * IF(NC[PARCIAL] &gt; 0, NC[QTDE] / NC[PARCIAL], 1)</f>
        <v>14.9</v>
      </c>
      <c r="T23" s="15">
        <f>SUMPRODUCT(N(NC[DATA]=NC[[#This Row],[DATA]]),N(NC[ID]&lt;=NC[[#This Row],[ID]]), NC[CORR])</f>
        <v>14.9</v>
      </c>
      <c r="U23" s="15">
        <f>TRUNC(NC[CORRETAGEM]*SETUP!$F$3,2)</f>
        <v>0.28999999999999998</v>
      </c>
      <c r="V23" s="15">
        <f>ROUND(NC[CORRETAGEM]*SETUP!$G$3,2)</f>
        <v>0.57999999999999996</v>
      </c>
      <c r="W23" s="15">
        <f>NC[VALOR LÍQUIDO DAS OPERAÇÕES]-NC[TAXA DE LIQUIDAÇÃO]-NC[EMOLUMENTOS]-NC[TAXA DE REGISTRO]-NC[CORRETAGEM]-NC[ISS]-IF(NC['[D/N']]="D",    0,    NC[OUTRAS BOVESPA]) - NC[AJUSTE]</f>
        <v>155.01999999999998</v>
      </c>
      <c r="X23" s="15">
        <f>IF(AND(NC['[D/N']]="D",    NC[T]="CV",    NC[LÍQUIDO BASE] &gt; 0),    TRUNC(NC[LÍQUIDO BASE]*0.01, 2),    0)</f>
        <v>0</v>
      </c>
      <c r="Y23" s="15">
        <f>IF(NC[PREÇO] &gt; 0,    NC[LÍQUIDO BASE]-SUMPRODUCT(N(NC[DATA]=NC[[#This Row],[DATA]]),    NC[IRRF FONTE]),    0)</f>
        <v>155.01999999999998</v>
      </c>
      <c r="Z23" s="20">
        <f>NC[LÍQUIDO]-SUMPRODUCT(N(NC[DATA]=NC[[#This Row],[DATA]]),N(NC[ID]=(NC[[#This Row],[ID]]-1)),NC[LÍQUIDO])</f>
        <v>155.01999999999998</v>
      </c>
      <c r="AA23" s="15">
        <f>IF(NC[T] = "VC", ABS(NC[VALOR OP]) / NC[QTDE], NC[VALOR OP]/NC[QTDE])</f>
        <v>8.1589473684210517E-2</v>
      </c>
      <c r="AB23" s="15">
        <f>TRUNC(IF(OR(NC[T]="CV",NC[T]="VV"),     N23*SETUP!$H$3,     0),2)</f>
        <v>0</v>
      </c>
      <c r="AC2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E2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8.1589473684210517E-2</v>
      </c>
      <c r="AF2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-317.37</v>
      </c>
      <c r="AG23" s="15">
        <f>IF(NC[LUCRO TMP] &lt;&gt; 0, NC[LUCRO TMP] - SUMPRODUCT(N(NC[ATIVO]=NC[[#This Row],[ATIVO]]),N(NC['[D/N']]="N"),N(NC[ID]&lt;NC[[#This Row],[ID]]),N(NC[PAR]=NC[[#This Row],[PAR]]), NC[LUCRO TMP]), 0)</f>
        <v>-317.37</v>
      </c>
      <c r="AH23" s="15">
        <f>IF(NC[U] = "U", SUMPRODUCT(N(NC[ID]&lt;=NC[[#This Row],[ID]]),N(NC[DATA BASE]=NC[[#This Row],[DATA BASE]]), N(NC['[D/N']] = "N"),    NC[LUCRO P/ OP]), 0)</f>
        <v>0</v>
      </c>
      <c r="AI23" s="15">
        <f>IF(NC[U] = "U", SUMPRODUCT(N(NC[DATA BASE]=NC[[#This Row],[DATA BASE]]), N(NC['[D/N']] = "D"),    NC[LUCRO P/ OP]), 0)</f>
        <v>0</v>
      </c>
      <c r="AJ23" s="15">
        <f>IF(NC[U] = "U", SUMPRODUCT(N(NC[DATA BASE]=NC[[#This Row],[DATA BASE]]), N(NC['[D/N']] = "D"),    NC[IRRF FONTE]), 0)</f>
        <v>0</v>
      </c>
    </row>
    <row r="24" spans="1:36" x14ac:dyDescent="0.2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24" s="15">
        <f>NC[QTDE]*NC[PREÇO]</f>
        <v>65</v>
      </c>
      <c r="O2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P2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Q2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2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24" s="15">
        <f>SETUP!$E$3 * IF(NC[PARCIAL] &gt; 0, NC[QTDE] / NC[PARCIAL], 1)</f>
        <v>14.9</v>
      </c>
      <c r="T24" s="15">
        <f>SUMPRODUCT(N(NC[DATA]=NC[[#This Row],[DATA]]),N(NC[ID]&lt;=NC[[#This Row],[ID]]), NC[CORR])</f>
        <v>14.9</v>
      </c>
      <c r="U24" s="15">
        <f>TRUNC(NC[CORRETAGEM]*SETUP!$F$3,2)</f>
        <v>0.28999999999999998</v>
      </c>
      <c r="V24" s="15">
        <f>ROUND(NC[CORRETAGEM]*SETUP!$G$3,2)</f>
        <v>0.57999999999999996</v>
      </c>
      <c r="W24" s="15">
        <f>NC[VALOR LÍQUIDO DAS OPERAÇÕES]-NC[TAXA DE LIQUIDAÇÃO]-NC[EMOLUMENTOS]-NC[TAXA DE REGISTRO]-NC[CORRETAGEM]-NC[ISS]-IF(NC['[D/N']]="D",    0,    NC[OUTRAS BOVESPA]) - NC[AJUSTE]</f>
        <v>49.16</v>
      </c>
      <c r="X24" s="15">
        <f>IF(AND(NC['[D/N']]="D",    NC[T]="CV",    NC[LÍQUIDO BASE] &gt; 0),    TRUNC(NC[LÍQUIDO BASE]*0.01, 2),    0)</f>
        <v>0</v>
      </c>
      <c r="Y24" s="15">
        <f>IF(NC[PREÇO] &gt; 0,    NC[LÍQUIDO BASE]-SUMPRODUCT(N(NC[DATA]=NC[[#This Row],[DATA]]),    NC[IRRF FONTE]),    0)</f>
        <v>49.16</v>
      </c>
      <c r="Z24" s="20">
        <f>NC[LÍQUIDO]-SUMPRODUCT(N(NC[DATA]=NC[[#This Row],[DATA]]),N(NC[ID]=(NC[[#This Row],[ID]]-1)),NC[LÍQUIDO])</f>
        <v>49.16</v>
      </c>
      <c r="AA24" s="15">
        <f>IF(NC[T] = "VC", ABS(NC[VALOR OP]) / NC[QTDE], NC[VALOR OP]/NC[QTDE])</f>
        <v>3.7815384615384612E-2</v>
      </c>
      <c r="AB24" s="15">
        <f>TRUNC(IF(OR(NC[T]="CV",NC[T]="VV"),     N24*SETUP!$H$3,     0),2)</f>
        <v>0</v>
      </c>
      <c r="AC2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E2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3.7815384615384612E-2</v>
      </c>
      <c r="AF24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-509.09999999999997</v>
      </c>
      <c r="AG24" s="15">
        <f>IF(NC[LUCRO TMP] &lt;&gt; 0, NC[LUCRO TMP] - SUMPRODUCT(N(NC[ATIVO]=NC[[#This Row],[ATIVO]]),N(NC['[D/N']]="N"),N(NC[ID]&lt;NC[[#This Row],[ID]]),N(NC[PAR]=NC[[#This Row],[PAR]]), NC[LUCRO TMP]), 0)</f>
        <v>-511.19</v>
      </c>
      <c r="AH24" s="15">
        <f>IF(NC[U] = "U", SUMPRODUCT(N(NC[ID]&lt;=NC[[#This Row],[ID]]),N(NC[DATA BASE]=NC[[#This Row],[DATA BASE]]), N(NC['[D/N']] = "N"),    NC[LUCRO P/ OP]), 0)</f>
        <v>0</v>
      </c>
      <c r="AI24" s="15">
        <f>IF(NC[U] = "U", SUMPRODUCT(N(NC[DATA BASE]=NC[[#This Row],[DATA BASE]]), N(NC['[D/N']] = "D"),    NC[LUCRO P/ OP]), 0)</f>
        <v>0</v>
      </c>
      <c r="AJ24" s="15">
        <f>IF(NC[U] = "U", SUMPRODUCT(N(NC[DATA BASE]=NC[[#This Row],[DATA BASE]]), N(NC['[D/N']] = "D"),    NC[IRRF FONTE]), 0)</f>
        <v>0</v>
      </c>
    </row>
    <row r="25" spans="1:36" ht="11.25" customHeight="1" x14ac:dyDescent="0.2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5" s="15">
        <f>NC[QTDE]*NC[PREÇO]</f>
        <v>400</v>
      </c>
      <c r="O2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P2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2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2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25" s="15">
        <f>SETUP!$E$3 * IF(NC[PARCIAL] &gt; 0, NC[QTDE] / NC[PARCIAL], 1)</f>
        <v>14.9</v>
      </c>
      <c r="T25" s="15">
        <f>SUMPRODUCT(N(NC[DATA]=NC[[#This Row],[DATA]]),N(NC[ID]&lt;=NC[[#This Row],[ID]]), NC[CORR])</f>
        <v>14.9</v>
      </c>
      <c r="U25" s="15">
        <f>TRUNC(NC[CORRETAGEM]*SETUP!$F$3,2)</f>
        <v>0.28999999999999998</v>
      </c>
      <c r="V25" s="15">
        <f>ROUND(NC[CORRETAGEM]*SETUP!$G$3,2)</f>
        <v>0.57999999999999996</v>
      </c>
      <c r="W25" s="15">
        <f>NC[VALOR LÍQUIDO DAS OPERAÇÕES]-NC[TAXA DE LIQUIDAÇÃO]-NC[EMOLUMENTOS]-NC[TAXA DE REGISTRO]-NC[CORRETAGEM]-NC[ISS]-IF(NC['[D/N']]="D",    0,    NC[OUTRAS BOVESPA]) - NC[AJUSTE]</f>
        <v>-416.28999999999996</v>
      </c>
      <c r="X25" s="15">
        <f>IF(AND(NC['[D/N']]="D",    NC[T]="CV",    NC[LÍQUIDO BASE] &gt; 0),    TRUNC(NC[LÍQUIDO BASE]*0.01, 2),    0)</f>
        <v>0</v>
      </c>
      <c r="Y25" s="15">
        <f>IF(NC[PREÇO] &gt; 0,    NC[LÍQUIDO BASE]-SUMPRODUCT(N(NC[DATA]=NC[[#This Row],[DATA]]),    NC[IRRF FONTE]),    0)</f>
        <v>-416.28999999999996</v>
      </c>
      <c r="Z25" s="20">
        <f>NC[LÍQUIDO]-SUMPRODUCT(N(NC[DATA]=NC[[#This Row],[DATA]]),N(NC[ID]=(NC[[#This Row],[ID]]-1)),NC[LÍQUIDO])</f>
        <v>-416.28999999999996</v>
      </c>
      <c r="AA25" s="15">
        <f>IF(NC[T] = "VC", ABS(NC[VALOR OP]) / NC[QTDE], NC[VALOR OP]/NC[QTDE])</f>
        <v>-0.52036249999999995</v>
      </c>
      <c r="AB25" s="15">
        <f>TRUNC(IF(OR(NC[T]="CV",NC[T]="VV"),     N25*SETUP!$H$3,     0),2)</f>
        <v>0</v>
      </c>
      <c r="AC2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D2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E2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5" s="15">
        <f>IF(NC[LUCRO TMP] &lt;&gt; 0, NC[LUCRO TMP] - SUMPRODUCT(N(NC[ATIVO]=NC[[#This Row],[ATIVO]]),N(NC['[D/N']]="N"),N(NC[ID]&lt;NC[[#This Row],[ID]]),N(NC[PAR]=NC[[#This Row],[PAR]]), NC[LUCRO TMP]), 0)</f>
        <v>0</v>
      </c>
      <c r="AH25" s="15">
        <f>IF(NC[U] = "U", SUMPRODUCT(N(NC[ID]&lt;=NC[[#This Row],[ID]]),N(NC[DATA BASE]=NC[[#This Row],[DATA BASE]]), N(NC['[D/N']] = "N"),    NC[LUCRO P/ OP]), 0)</f>
        <v>0</v>
      </c>
      <c r="AI25" s="15">
        <f>IF(NC[U] = "U", SUMPRODUCT(N(NC[DATA BASE]=NC[[#This Row],[DATA BASE]]), N(NC['[D/N']] = "D"),    NC[LUCRO P/ OP]), 0)</f>
        <v>0</v>
      </c>
      <c r="AJ25" s="15">
        <f>IF(NC[U] = "U", SUMPRODUCT(N(NC[DATA BASE]=NC[[#This Row],[DATA BASE]]), N(NC['[D/N']] = "D"),    NC[IRRF FONTE]), 0)</f>
        <v>0</v>
      </c>
    </row>
    <row r="26" spans="1:36" ht="11.25" customHeight="1" x14ac:dyDescent="0.2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6" s="15">
        <f>NC[QTDE]*NC[PREÇO]</f>
        <v>800</v>
      </c>
      <c r="O2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800</v>
      </c>
      <c r="P2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0.22</v>
      </c>
      <c r="Q2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0.28999999999999998</v>
      </c>
      <c r="R2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0.55000000000000004</v>
      </c>
      <c r="S26" s="15">
        <f>SETUP!$E$3 * IF(NC[PARCIAL] &gt; 0, NC[QTDE] / NC[PARCIAL], 1)</f>
        <v>14.9</v>
      </c>
      <c r="T26" s="15">
        <f>SUMPRODUCT(N(NC[DATA]=NC[[#This Row],[DATA]]),N(NC[ID]&lt;=NC[[#This Row],[ID]]), NC[CORR])</f>
        <v>14.9</v>
      </c>
      <c r="U26" s="15">
        <f>TRUNC(NC[CORRETAGEM]*SETUP!$F$3,2)</f>
        <v>0.28999999999999998</v>
      </c>
      <c r="V26" s="15">
        <f>ROUND(NC[CORRETAGEM]*SETUP!$G$3,2)</f>
        <v>0.57999999999999996</v>
      </c>
      <c r="W26" s="15">
        <f>NC[VALOR LÍQUIDO DAS OPERAÇÕES]-NC[TAXA DE LIQUIDAÇÃO]-NC[EMOLUMENTOS]-NC[TAXA DE REGISTRO]-NC[CORRETAGEM]-NC[ISS]-IF(NC['[D/N']]="D",    0,    NC[OUTRAS BOVESPA]) - NC[AJUSTE]</f>
        <v>783.17000000000007</v>
      </c>
      <c r="X26" s="15">
        <f>IF(AND(NC['[D/N']]="D",    NC[T]="CV",    NC[LÍQUIDO BASE] &gt; 0),    TRUNC(NC[LÍQUIDO BASE]*0.01, 2),    0)</f>
        <v>0</v>
      </c>
      <c r="Y26" s="15">
        <f>IF(NC[PREÇO] &gt; 0,    NC[LÍQUIDO BASE]-SUMPRODUCT(N(NC[DATA]=NC[[#This Row],[DATA]]),    NC[IRRF FONTE]),    0)</f>
        <v>783.17000000000007</v>
      </c>
      <c r="Z26" s="20">
        <f>NC[LÍQUIDO]-SUMPRODUCT(N(NC[DATA]=NC[[#This Row],[DATA]]),N(NC[ID]=(NC[[#This Row],[ID]]-1)),NC[LÍQUIDO])</f>
        <v>783.17000000000007</v>
      </c>
      <c r="AA26" s="15">
        <f>IF(NC[T] = "VC", ABS(NC[VALOR OP]) / NC[QTDE], NC[VALOR OP]/NC[QTDE])</f>
        <v>0.97896250000000007</v>
      </c>
      <c r="AB26" s="15">
        <f>TRUNC(IF(OR(NC[T]="CV",NC[T]="VV"),     N26*SETUP!$H$3,     0),2)</f>
        <v>0.04</v>
      </c>
      <c r="AC2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E2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0.97896250000000007</v>
      </c>
      <c r="AF2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366.88000000000011</v>
      </c>
      <c r="AG26" s="15">
        <f>IF(NC[LUCRO TMP] &lt;&gt; 0, NC[LUCRO TMP] - SUMPRODUCT(N(NC[ATIVO]=NC[[#This Row],[ATIVO]]),N(NC['[D/N']]="N"),N(NC[ID]&lt;NC[[#This Row],[ID]]),N(NC[PAR]=NC[[#This Row],[PAR]]), NC[LUCRO TMP]), 0)</f>
        <v>366.88000000000011</v>
      </c>
      <c r="AH26" s="15">
        <f>IF(NC[U] = "U", SUMPRODUCT(N(NC[ID]&lt;=NC[[#This Row],[ID]]),N(NC[DATA BASE]=NC[[#This Row],[DATA BASE]]), N(NC['[D/N']] = "N"),    NC[LUCRO P/ OP]), 0)</f>
        <v>0</v>
      </c>
      <c r="AI26" s="15">
        <f>IF(NC[U] = "U", SUMPRODUCT(N(NC[DATA BASE]=NC[[#This Row],[DATA BASE]]), N(NC['[D/N']] = "D"),    NC[LUCRO P/ OP]), 0)</f>
        <v>0</v>
      </c>
      <c r="AJ26" s="15">
        <f>IF(NC[U] = "U", SUMPRODUCT(N(NC[DATA BASE]=NC[[#This Row],[DATA BASE]]), N(NC['[D/N']] = "D"),    NC[IRRF FONTE]), 0)</f>
        <v>0</v>
      </c>
    </row>
    <row r="27" spans="1:36" ht="11.25" customHeight="1" x14ac:dyDescent="0.2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27" s="15">
        <f>NC[QTDE]*NC[PREÇO]</f>
        <v>0</v>
      </c>
      <c r="O2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2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2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2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27" s="15">
        <f>SETUP!$E$3 * IF(NC[PARCIAL] &gt; 0, NC[QTDE] / NC[PARCIAL], 1)</f>
        <v>14.9</v>
      </c>
      <c r="T27" s="15">
        <f>SUMPRODUCT(N(NC[DATA]=NC[[#This Row],[DATA]]),N(NC[ID]&lt;=NC[[#This Row],[ID]]), NC[CORR])</f>
        <v>14.9</v>
      </c>
      <c r="U27" s="15">
        <f>TRUNC(NC[CORRETAGEM]*SETUP!$F$3,2)</f>
        <v>0.28999999999999998</v>
      </c>
      <c r="V27" s="15">
        <f>ROUND(NC[CORRETAGEM]*SETUP!$G$3,2)</f>
        <v>0.57999999999999996</v>
      </c>
      <c r="W27" s="15">
        <f>NC[VALOR LÍQUIDO DAS OPERAÇÕES]-NC[TAXA DE LIQUIDAÇÃO]-NC[EMOLUMENTOS]-NC[TAXA DE REGISTRO]-NC[CORRETAGEM]-NC[ISS]-IF(NC['[D/N']]="D",    0,    NC[OUTRAS BOVESPA]) - NC[AJUSTE]</f>
        <v>-15.77</v>
      </c>
      <c r="X27" s="15">
        <f>IF(AND(NC['[D/N']]="D",    NC[T]="CV",    NC[LÍQUIDO BASE] &gt; 0),    TRUNC(NC[LÍQUIDO BASE]*0.01, 2),    0)</f>
        <v>0</v>
      </c>
      <c r="Y27" s="15">
        <f>IF(NC[PREÇO] &gt; 0,    NC[LÍQUIDO BASE]-SUMPRODUCT(N(NC[DATA]=NC[[#This Row],[DATA]]),    NC[IRRF FONTE]),    0)</f>
        <v>0</v>
      </c>
      <c r="Z27" s="20">
        <f>NC[LÍQUIDO]-SUMPRODUCT(N(NC[DATA]=NC[[#This Row],[DATA]]),N(NC[ID]=(NC[[#This Row],[ID]]-1)),NC[LÍQUIDO])</f>
        <v>0</v>
      </c>
      <c r="AA27" s="15">
        <f>IF(NC[T] = "VC", ABS(NC[VALOR OP]) / NC[QTDE], NC[VALOR OP]/NC[QTDE])</f>
        <v>0</v>
      </c>
      <c r="AB27" s="15">
        <f>TRUNC(IF(OR(NC[T]="CV",NC[T]="VV"),     N27*SETUP!$H$3,     0),2)</f>
        <v>0</v>
      </c>
      <c r="AC2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E2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-496.4</v>
      </c>
      <c r="AG27" s="15">
        <f>IF(NC[LUCRO TMP] &lt;&gt; 0, NC[LUCRO TMP] - SUMPRODUCT(N(NC[ATIVO]=NC[[#This Row],[ATIVO]]),N(NC['[D/N']]="N"),N(NC[ID]&lt;NC[[#This Row],[ID]]),N(NC[PAR]=NC[[#This Row],[PAR]]), NC[LUCRO TMP]), 0)</f>
        <v>-496.4</v>
      </c>
      <c r="AH27" s="15">
        <f>IF(NC[U] = "U", SUMPRODUCT(N(NC[ID]&lt;=NC[[#This Row],[ID]]),N(NC[DATA BASE]=NC[[#This Row],[DATA BASE]]), N(NC['[D/N']] = "N"),    NC[LUCRO P/ OP]), 0)</f>
        <v>0</v>
      </c>
      <c r="AI27" s="15">
        <f>IF(NC[U] = "U", SUMPRODUCT(N(NC[DATA BASE]=NC[[#This Row],[DATA BASE]]), N(NC['[D/N']] = "D"),    NC[LUCRO P/ OP]), 0)</f>
        <v>0</v>
      </c>
      <c r="AJ27" s="15">
        <f>IF(NC[U] = "U", SUMPRODUCT(N(NC[DATA BASE]=NC[[#This Row],[DATA BASE]]), N(NC['[D/N']] = "D"),    NC[IRRF FONTE]), 0)</f>
        <v>0</v>
      </c>
    </row>
    <row r="28" spans="1:36" ht="11.25" customHeight="1" x14ac:dyDescent="0.2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8" s="29">
        <f>NC[QTDE]*NC[PREÇO]</f>
        <v>75</v>
      </c>
      <c r="O28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-75</v>
      </c>
      <c r="P28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28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28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S28" s="29">
        <f>SETUP!$E$3 * IF(NC[PARCIAL] &gt; 0, NC[QTDE] / NC[PARCIAL], 1)</f>
        <v>14.9</v>
      </c>
      <c r="T28" s="29">
        <f>SUMPRODUCT(N(NC[DATA]=NC[[#This Row],[DATA]]),N(NC[ID]&lt;=NC[[#This Row],[ID]]), NC[CORR])</f>
        <v>14.9</v>
      </c>
      <c r="U28" s="29">
        <f>TRUNC(NC[CORRETAGEM]*SETUP!$F$3,2)</f>
        <v>0.28999999999999998</v>
      </c>
      <c r="V28" s="29">
        <f>ROUND(NC[CORRETAGEM]*SETUP!$G$3,2)</f>
        <v>0.57999999999999996</v>
      </c>
      <c r="W28" s="29">
        <f>NC[VALOR LÍQUIDO DAS OPERAÇÕES]-NC[TAXA DE LIQUIDAÇÃO]-NC[EMOLUMENTOS]-NC[TAXA DE REGISTRO]-NC[CORRETAGEM]-NC[ISS]-IF(NC['[D/N']]="D",    0,    NC[OUTRAS BOVESPA]) - NC[AJUSTE]</f>
        <v>-90.86</v>
      </c>
      <c r="X28" s="29">
        <f>IF(AND(NC['[D/N']]="D",    NC[T]="CV",    NC[LÍQUIDO BASE] &gt; 0),    TRUNC(NC[LÍQUIDO BASE]*0.01, 2),    0)</f>
        <v>0</v>
      </c>
      <c r="Y28" s="15">
        <f>IF(NC[PREÇO] &gt; 0,    NC[LÍQUIDO BASE]-SUMPRODUCT(N(NC[DATA]=NC[[#This Row],[DATA]]),    NC[IRRF FONTE]),    0)</f>
        <v>-90.86</v>
      </c>
      <c r="Z28" s="33">
        <f>NC[LÍQUIDO]-SUMPRODUCT(N(NC[DATA]=NC[[#This Row],[DATA]]),N(NC[ID]=(NC[[#This Row],[ID]]-1)),NC[LÍQUIDO])</f>
        <v>-90.86</v>
      </c>
      <c r="AA28" s="29">
        <f>IF(NC[T] = "VC", ABS(NC[VALOR OP]) / NC[QTDE], NC[VALOR OP]/NC[QTDE])</f>
        <v>-0.90859999999999996</v>
      </c>
      <c r="AB28" s="29">
        <f>TRUNC(IF(OR(NC[T]="CV",NC[T]="VV"),     N28*SETUP!$H$3,     0),2)</f>
        <v>0</v>
      </c>
      <c r="AC28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28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E28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8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8" s="29">
        <f>IF(NC[LUCRO TMP] &lt;&gt; 0, NC[LUCRO TMP] - SUMPRODUCT(N(NC[ATIVO]=NC[[#This Row],[ATIVO]]),N(NC['[D/N']]="N"),N(NC[ID]&lt;NC[[#This Row],[ID]]),N(NC[PAR]=NC[[#This Row],[PAR]]), NC[LUCRO TMP]), 0)</f>
        <v>0</v>
      </c>
      <c r="AH28" s="29">
        <f>IF(NC[U] = "U", SUMPRODUCT(N(NC[ID]&lt;=NC[[#This Row],[ID]]),N(NC[DATA BASE]=NC[[#This Row],[DATA BASE]]), N(NC['[D/N']] = "N"),    NC[LUCRO P/ OP]), 0)</f>
        <v>0</v>
      </c>
      <c r="AI28" s="29">
        <f>IF(NC[U] = "U", SUMPRODUCT(N(NC[DATA BASE]=NC[[#This Row],[DATA BASE]]), N(NC['[D/N']] = "D"),    NC[LUCRO P/ OP]), 0)</f>
        <v>0</v>
      </c>
      <c r="AJ28" s="15">
        <f>IF(NC[U] = "U", SUMPRODUCT(N(NC[DATA BASE]=NC[[#This Row],[DATA BASE]]), N(NC['[D/N']] = "D"),    NC[IRRF FONTE]), 0)</f>
        <v>0</v>
      </c>
    </row>
    <row r="29" spans="1:36" ht="11.25" customHeight="1" x14ac:dyDescent="0.2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9" s="29">
        <f>NC[QTDE]*NC[PREÇO]</f>
        <v>193</v>
      </c>
      <c r="O29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118</v>
      </c>
      <c r="P29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Q29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R29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0.18</v>
      </c>
      <c r="S29" s="29">
        <f>SETUP!$E$3 * IF(NC[PARCIAL] &gt; 0, NC[QTDE] / NC[PARCIAL], 1)</f>
        <v>14.9</v>
      </c>
      <c r="T29" s="29">
        <f>SUMPRODUCT(N(NC[DATA]=NC[[#This Row],[DATA]]),N(NC[ID]&lt;=NC[[#This Row],[ID]]), NC[CORR])</f>
        <v>29.8</v>
      </c>
      <c r="U29" s="29">
        <f>TRUNC(NC[CORRETAGEM]*SETUP!$F$3,2)</f>
        <v>0.59</v>
      </c>
      <c r="V29" s="29">
        <f>ROUND(NC[CORRETAGEM]*SETUP!$G$3,2)</f>
        <v>1.1599999999999999</v>
      </c>
      <c r="W29" s="29">
        <f>NC[VALOR LÍQUIDO DAS OPERAÇÕES]-NC[TAXA DE LIQUIDAÇÃO]-NC[EMOLUMENTOS]-NC[TAXA DE REGISTRO]-NC[CORRETAGEM]-NC[ISS]-IF(NC['[D/N']]="D",    0,    NC[OUTRAS BOVESPA]) - NC[AJUSTE]</f>
        <v>86.11</v>
      </c>
      <c r="X29" s="29">
        <f>IF(AND(NC['[D/N']]="D",    NC[T]="CV",    NC[LÍQUIDO BASE] &gt; 0),    TRUNC(NC[LÍQUIDO BASE]*0.01, 2),    0)</f>
        <v>0</v>
      </c>
      <c r="Y29" s="15">
        <f>IF(NC[PREÇO] &gt; 0,    NC[LÍQUIDO BASE]-SUMPRODUCT(N(NC[DATA]=NC[[#This Row],[DATA]]),    NC[IRRF FONTE]),    0)</f>
        <v>86.11</v>
      </c>
      <c r="Z29" s="33">
        <f>NC[LÍQUIDO]-SUMPRODUCT(N(NC[DATA]=NC[[#This Row],[DATA]]),N(NC[ID]=(NC[[#This Row],[ID]]-1)),NC[LÍQUIDO])</f>
        <v>176.97</v>
      </c>
      <c r="AA29" s="29">
        <f>IF(NC[T] = "VC", ABS(NC[VALOR OP]) / NC[QTDE], NC[VALOR OP]/NC[QTDE])</f>
        <v>1.7697000000000001</v>
      </c>
      <c r="AB29" s="29">
        <f>TRUNC(IF(OR(NC[T]="CV",NC[T]="VV"),     N29*SETUP!$H$3,     0),2)</f>
        <v>0</v>
      </c>
      <c r="AC29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D29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29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F29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9" s="29">
        <f>IF(NC[LUCRO TMP] &lt;&gt; 0, NC[LUCRO TMP] - SUMPRODUCT(N(NC[ATIVO]=NC[[#This Row],[ATIVO]]),N(NC['[D/N']]="N"),N(NC[ID]&lt;NC[[#This Row],[ID]]),N(NC[PAR]=NC[[#This Row],[PAR]]), NC[LUCRO TMP]), 0)</f>
        <v>0</v>
      </c>
      <c r="AH29" s="29">
        <f>IF(NC[U] = "U", SUMPRODUCT(N(NC[ID]&lt;=NC[[#This Row],[ID]]),N(NC[DATA BASE]=NC[[#This Row],[DATA BASE]]), N(NC['[D/N']] = "N"),    NC[LUCRO P/ OP]), 0)</f>
        <v>0</v>
      </c>
      <c r="AI29" s="29">
        <f>IF(NC[U] = "U", SUMPRODUCT(N(NC[DATA BASE]=NC[[#This Row],[DATA BASE]]), N(NC['[D/N']] = "D"),    NC[LUCRO P/ OP]), 0)</f>
        <v>0</v>
      </c>
      <c r="AJ29" s="15">
        <f>IF(NC[U] = "U", SUMPRODUCT(N(NC[DATA BASE]=NC[[#This Row],[DATA BASE]]), N(NC['[D/N']] = "D"),    NC[IRRF FONTE]), 0)</f>
        <v>0</v>
      </c>
    </row>
    <row r="30" spans="1:36" ht="11.25" customHeight="1" x14ac:dyDescent="0.2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0" s="29">
        <f>NC[QTDE]*NC[PREÇO]</f>
        <v>96</v>
      </c>
      <c r="O30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-96</v>
      </c>
      <c r="P30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30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30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0.06</v>
      </c>
      <c r="S30" s="29">
        <f>SETUP!$E$3 * IF(NC[PARCIAL] &gt; 0, NC[QTDE] / NC[PARCIAL], 1)</f>
        <v>14.9</v>
      </c>
      <c r="T30" s="29">
        <f>SUMPRODUCT(N(NC[DATA]=NC[[#This Row],[DATA]]),N(NC[ID]&lt;=NC[[#This Row],[ID]]), NC[CORR])</f>
        <v>14.9</v>
      </c>
      <c r="U30" s="29">
        <f>TRUNC(NC[CORRETAGEM]*SETUP!$F$3,2)</f>
        <v>0.28999999999999998</v>
      </c>
      <c r="V30" s="29">
        <f>ROUND(NC[CORRETAGEM]*SETUP!$G$3,2)</f>
        <v>0.57999999999999996</v>
      </c>
      <c r="W30" s="29">
        <f>NC[VALOR LÍQUIDO DAS OPERAÇÕES]-NC[TAXA DE LIQUIDAÇÃO]-NC[EMOLUMENTOS]-NC[TAXA DE REGISTRO]-NC[CORRETAGEM]-NC[ISS]-IF(NC['[D/N']]="D",    0,    NC[OUTRAS BOVESPA]) - NC[AJUSTE]</f>
        <v>-111.88000000000001</v>
      </c>
      <c r="X30" s="29">
        <f>IF(AND(NC['[D/N']]="D",    NC[T]="CV",    NC[LÍQUIDO BASE] &gt; 0),    TRUNC(NC[LÍQUIDO BASE]*0.01, 2),    0)</f>
        <v>0</v>
      </c>
      <c r="Y30" s="15">
        <f>IF(NC[PREÇO] &gt; 0,    NC[LÍQUIDO BASE]-SUMPRODUCT(N(NC[DATA]=NC[[#This Row],[DATA]]),    NC[IRRF FONTE]),    0)</f>
        <v>-111.88000000000001</v>
      </c>
      <c r="Z30" s="33">
        <f>NC[LÍQUIDO]-SUMPRODUCT(N(NC[DATA]=NC[[#This Row],[DATA]]),N(NC[ID]=(NC[[#This Row],[ID]]-1)),NC[LÍQUIDO])</f>
        <v>-111.88000000000001</v>
      </c>
      <c r="AA30" s="29">
        <f>IF(NC[T] = "VC", ABS(NC[VALOR OP]) / NC[QTDE], NC[VALOR OP]/NC[QTDE])</f>
        <v>-0.37293333333333334</v>
      </c>
      <c r="AB30" s="29">
        <f>TRUNC(IF(OR(NC[T]="CV",NC[T]="VV"),     N30*SETUP!$H$3,     0),2)</f>
        <v>0</v>
      </c>
      <c r="AC30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D30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E30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0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0" s="29">
        <f>IF(NC[LUCRO TMP] &lt;&gt; 0, NC[LUCRO TMP] - SUMPRODUCT(N(NC[ATIVO]=NC[[#This Row],[ATIVO]]),N(NC['[D/N']]="N"),N(NC[ID]&lt;NC[[#This Row],[ID]]),N(NC[PAR]=NC[[#This Row],[PAR]]), NC[LUCRO TMP]), 0)</f>
        <v>0</v>
      </c>
      <c r="AH30" s="29">
        <f>IF(NC[U] = "U", SUMPRODUCT(N(NC[ID]&lt;=NC[[#This Row],[ID]]),N(NC[DATA BASE]=NC[[#This Row],[DATA BASE]]), N(NC['[D/N']] = "N"),    NC[LUCRO P/ OP]), 0)</f>
        <v>-958.07999999999981</v>
      </c>
      <c r="AI30" s="29">
        <f>IF(NC[U] = "U", SUMPRODUCT(N(NC[DATA BASE]=NC[[#This Row],[DATA BASE]]), N(NC['[D/N']] = "D"),    NC[LUCRO P/ OP]), 0)</f>
        <v>0</v>
      </c>
      <c r="AJ30" s="15">
        <f>IF(NC[U] = "U", SUMPRODUCT(N(NC[DATA BASE]=NC[[#This Row],[DATA BASE]]), N(NC['[D/N']] = "D"),    NC[IRRF FONTE]), 0)</f>
        <v>0</v>
      </c>
    </row>
    <row r="31" spans="1:36" ht="11.25" customHeight="1" x14ac:dyDescent="0.2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1" s="15">
        <f>NC[QTDE]*NC[PREÇO]</f>
        <v>192</v>
      </c>
      <c r="O3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192</v>
      </c>
      <c r="P3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3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3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0.13</v>
      </c>
      <c r="S31" s="15">
        <f>SETUP!$E$3 * IF(NC[PARCIAL] &gt; 0, NC[QTDE] / NC[PARCIAL], 1)</f>
        <v>14.9</v>
      </c>
      <c r="T31" s="15">
        <f>SUMPRODUCT(N(NC[DATA]=NC[[#This Row],[DATA]]),N(NC[ID]&lt;=NC[[#This Row],[ID]]), NC[CORR])</f>
        <v>14.9</v>
      </c>
      <c r="U31" s="15">
        <f>TRUNC(NC[CORRETAGEM]*SETUP!$F$3,2)</f>
        <v>0.28999999999999998</v>
      </c>
      <c r="V31" s="15">
        <f>ROUND(NC[CORRETAGEM]*SETUP!$G$3,2)</f>
        <v>0.57999999999999996</v>
      </c>
      <c r="W31" s="15">
        <f>NC[VALOR LÍQUIDO DAS OPERAÇÕES]-NC[TAXA DE LIQUIDAÇÃO]-NC[EMOLUMENTOS]-NC[TAXA DE REGISTRO]-NC[CORRETAGEM]-NC[ISS]-IF(NC['[D/N']]="D",    0,    NC[OUTRAS BOVESPA]) - NC[AJUSTE]</f>
        <v>175.98</v>
      </c>
      <c r="X31" s="15">
        <f>IF(AND(NC['[D/N']]="D",    NC[T]="CV",    NC[LÍQUIDO BASE] &gt; 0),    TRUNC(NC[LÍQUIDO BASE]*0.01, 2),    0)</f>
        <v>0</v>
      </c>
      <c r="Y31" s="15">
        <f>IF(NC[PREÇO] &gt; 0,    NC[LÍQUIDO BASE]-SUMPRODUCT(N(NC[DATA]=NC[[#This Row],[DATA]]),    NC[IRRF FONTE]),    0)</f>
        <v>175.98</v>
      </c>
      <c r="Z31" s="20">
        <f>NC[LÍQUIDO]-SUMPRODUCT(N(NC[DATA]=NC[[#This Row],[DATA]]),N(NC[ID]=(NC[[#This Row],[ID]]-1)),NC[LÍQUIDO])</f>
        <v>175.98</v>
      </c>
      <c r="AA31" s="15">
        <f>IF(NC[T] = "VC", ABS(NC[VALOR OP]) / NC[QTDE], NC[VALOR OP]/NC[QTDE])</f>
        <v>0.58660000000000001</v>
      </c>
      <c r="AB31" s="15">
        <f>TRUNC(IF(OR(NC[T]="CV",NC[T]="VV"),     N31*SETUP!$H$3,     0),2)</f>
        <v>0</v>
      </c>
      <c r="AC3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3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E3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0.58660000000000001</v>
      </c>
      <c r="AF31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64.099999999999994</v>
      </c>
      <c r="AG31" s="15">
        <f>IF(NC[LUCRO TMP] &lt;&gt; 0, NC[LUCRO TMP] - SUMPRODUCT(N(NC[ATIVO]=NC[[#This Row],[ATIVO]]),N(NC['[D/N']]="N"),N(NC[ID]&lt;NC[[#This Row],[ID]]),N(NC[PAR]=NC[[#This Row],[PAR]]), NC[LUCRO TMP]), 0)</f>
        <v>64.099999999999994</v>
      </c>
      <c r="AH31" s="15">
        <f>IF(NC[U] = "U", SUMPRODUCT(N(NC[ID]&lt;=NC[[#This Row],[ID]]),N(NC[DATA BASE]=NC[[#This Row],[DATA BASE]]), N(NC['[D/N']] = "N"),    NC[LUCRO P/ OP]), 0)</f>
        <v>0</v>
      </c>
      <c r="AI31" s="15">
        <f>IF(NC[U] = "U", SUMPRODUCT(N(NC[DATA BASE]=NC[[#This Row],[DATA BASE]]), N(NC['[D/N']] = "D"),    NC[LUCRO P/ OP]), 0)</f>
        <v>0</v>
      </c>
      <c r="AJ31" s="15">
        <f>IF(NC[U] = "U", SUMPRODUCT(N(NC[DATA BASE]=NC[[#This Row],[DATA BASE]]), N(NC['[D/N']] = "D"),    NC[IRRF FONTE]), 0)</f>
        <v>0</v>
      </c>
    </row>
    <row r="32" spans="1:36" ht="11.25" customHeight="1" x14ac:dyDescent="0.2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2" s="15">
        <f>NC[QTDE]*NC[PREÇO]</f>
        <v>108</v>
      </c>
      <c r="O3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-108</v>
      </c>
      <c r="P3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3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3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S32" s="15">
        <f>SETUP!$E$3 * IF(NC[PARCIAL] &gt; 0, NC[QTDE] / NC[PARCIAL], 1)</f>
        <v>14.9</v>
      </c>
      <c r="T32" s="15">
        <f>SUMPRODUCT(N(NC[DATA]=NC[[#This Row],[DATA]]),N(NC[ID]&lt;=NC[[#This Row],[ID]]), NC[CORR])</f>
        <v>14.9</v>
      </c>
      <c r="U32" s="15">
        <f>TRUNC(NC[CORRETAGEM]*SETUP!$F$3,2)</f>
        <v>0.28999999999999998</v>
      </c>
      <c r="V32" s="15">
        <f>ROUND(NC[CORRETAGEM]*SETUP!$G$3,2)</f>
        <v>0.57999999999999996</v>
      </c>
      <c r="W32" s="15">
        <f>NC[VALOR LÍQUIDO DAS OPERAÇÕES]-NC[TAXA DE LIQUIDAÇÃO]-NC[EMOLUMENTOS]-NC[TAXA DE REGISTRO]-NC[CORRETAGEM]-NC[ISS]-IF(NC['[D/N']]="D",    0,    NC[OUTRAS BOVESPA]) - NC[AJUSTE]</f>
        <v>-123.89</v>
      </c>
      <c r="X32" s="15">
        <f>IF(AND(NC['[D/N']]="D",    NC[T]="CV",    NC[LÍQUIDO BASE] &gt; 0),    TRUNC(NC[LÍQUIDO BASE]*0.01, 2),    0)</f>
        <v>0</v>
      </c>
      <c r="Y32" s="15">
        <f>IF(NC[PREÇO] &gt; 0,    NC[LÍQUIDO BASE]-SUMPRODUCT(N(NC[DATA]=NC[[#This Row],[DATA]]),    NC[IRRF FONTE]),    0)</f>
        <v>-123.89</v>
      </c>
      <c r="Z32" s="20">
        <f>NC[LÍQUIDO]-SUMPRODUCT(N(NC[DATA]=NC[[#This Row],[DATA]]),N(NC[ID]=(NC[[#This Row],[ID]]-1)),NC[LÍQUIDO])</f>
        <v>-123.89</v>
      </c>
      <c r="AA32" s="15">
        <f>IF(NC[T] = "VC", ABS(NC[VALOR OP]) / NC[QTDE], NC[VALOR OP]/NC[QTDE])</f>
        <v>-0.30972500000000003</v>
      </c>
      <c r="AB32" s="15">
        <f>TRUNC(IF(OR(NC[T]="CV",NC[T]="VV"),     N32*SETUP!$H$3,     0),2)</f>
        <v>0</v>
      </c>
      <c r="AC3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3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E3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2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2" s="15">
        <f>IF(NC[LUCRO TMP] &lt;&gt; 0, NC[LUCRO TMP] - SUMPRODUCT(N(NC[ATIVO]=NC[[#This Row],[ATIVO]]),N(NC['[D/N']]="N"),N(NC[ID]&lt;NC[[#This Row],[ID]]),N(NC[PAR]=NC[[#This Row],[PAR]]), NC[LUCRO TMP]), 0)</f>
        <v>0</v>
      </c>
      <c r="AH32" s="15">
        <f>IF(NC[U] = "U", SUMPRODUCT(N(NC[ID]&lt;=NC[[#This Row],[ID]]),N(NC[DATA BASE]=NC[[#This Row],[DATA BASE]]), N(NC['[D/N']] = "N"),    NC[LUCRO P/ OP]), 0)</f>
        <v>0</v>
      </c>
      <c r="AI32" s="15">
        <f>IF(NC[U] = "U", SUMPRODUCT(N(NC[DATA BASE]=NC[[#This Row],[DATA BASE]]), N(NC['[D/N']] = "D"),    NC[LUCRO P/ OP]), 0)</f>
        <v>0</v>
      </c>
      <c r="AJ32" s="15">
        <f>IF(NC[U] = "U", SUMPRODUCT(N(NC[DATA BASE]=NC[[#This Row],[DATA BASE]]), N(NC['[D/N']] = "D"),    NC[IRRF FONTE]), 0)</f>
        <v>0</v>
      </c>
    </row>
    <row r="33" spans="1:36" x14ac:dyDescent="0.2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3" s="15">
        <f>NC[QTDE]*NC[PREÇO]</f>
        <v>30</v>
      </c>
      <c r="O3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-30</v>
      </c>
      <c r="P3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3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R3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S33" s="15">
        <f>SETUP!$E$3 * IF(NC[PARCIAL] &gt; 0, NC[QTDE] / NC[PARCIAL], 1)</f>
        <v>14.9</v>
      </c>
      <c r="T33" s="15">
        <f>SUMPRODUCT(N(NC[DATA]=NC[[#This Row],[DATA]]),N(NC[ID]&lt;=NC[[#This Row],[ID]]), NC[CORR])</f>
        <v>14.9</v>
      </c>
      <c r="U33" s="15">
        <f>TRUNC(NC[CORRETAGEM]*SETUP!$F$3,2)</f>
        <v>0.28999999999999998</v>
      </c>
      <c r="V33" s="15">
        <f>ROUND(NC[CORRETAGEM]*SETUP!$G$3,2)</f>
        <v>0.57999999999999996</v>
      </c>
      <c r="W33" s="15">
        <f>NC[VALOR LÍQUIDO DAS OPERAÇÕES]-NC[TAXA DE LIQUIDAÇÃO]-NC[EMOLUMENTOS]-NC[TAXA DE REGISTRO]-NC[CORRETAGEM]-NC[ISS]-IF(NC['[D/N']]="D",    0,    NC[OUTRAS BOVESPA]) - NC[AJUSTE]</f>
        <v>-45.8</v>
      </c>
      <c r="X33" s="15">
        <f>IF(AND(NC['[D/N']]="D",    NC[T]="CV",    NC[LÍQUIDO BASE] &gt; 0),    TRUNC(NC[LÍQUIDO BASE]*0.01, 2),    0)</f>
        <v>0</v>
      </c>
      <c r="Y33" s="15">
        <f>IF(NC[PREÇO] &gt; 0,    NC[LÍQUIDO BASE]-SUMPRODUCT(N(NC[DATA]=NC[[#This Row],[DATA]]),    NC[IRRF FONTE]),    0)</f>
        <v>-45.8</v>
      </c>
      <c r="Z33" s="20">
        <f>NC[LÍQUIDO]-SUMPRODUCT(N(NC[DATA]=NC[[#This Row],[DATA]]),N(NC[ID]=(NC[[#This Row],[ID]]-1)),NC[LÍQUIDO])</f>
        <v>-45.8</v>
      </c>
      <c r="AA33" s="15">
        <f>IF(NC[T] = "VC", ABS(NC[VALOR OP]) / NC[QTDE], NC[VALOR OP]/NC[QTDE])</f>
        <v>-0.45799999999999996</v>
      </c>
      <c r="AB33" s="15">
        <f>TRUNC(IF(OR(NC[T]="CV",NC[T]="VV"),     N33*SETUP!$H$3,     0),2)</f>
        <v>0</v>
      </c>
      <c r="AC3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3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E3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3" s="15">
        <f>IF(NC[LUCRO TMP] &lt;&gt; 0, NC[LUCRO TMP] - SUMPRODUCT(N(NC[ATIVO]=NC[[#This Row],[ATIVO]]),N(NC['[D/N']]="N"),N(NC[ID]&lt;NC[[#This Row],[ID]]),N(NC[PAR]=NC[[#This Row],[PAR]]), NC[LUCRO TMP]), 0)</f>
        <v>0</v>
      </c>
      <c r="AH33" s="15">
        <f>IF(NC[U] = "U", SUMPRODUCT(N(NC[ID]&lt;=NC[[#This Row],[ID]]),N(NC[DATA BASE]=NC[[#This Row],[DATA BASE]]), N(NC['[D/N']] = "N"),    NC[LUCRO P/ OP]), 0)</f>
        <v>0</v>
      </c>
      <c r="AI33" s="15">
        <f>IF(NC[U] = "U", SUMPRODUCT(N(NC[DATA BASE]=NC[[#This Row],[DATA BASE]]), N(NC['[D/N']] = "D"),    NC[LUCRO P/ OP]), 0)</f>
        <v>0</v>
      </c>
      <c r="AJ33" s="15">
        <f>IF(NC[U] = "U", SUMPRODUCT(N(NC[DATA BASE]=NC[[#This Row],[DATA BASE]]), N(NC['[D/N']] = "D"),    NC[IRRF FONTE]), 0)</f>
        <v>0</v>
      </c>
    </row>
    <row r="34" spans="1:36" x14ac:dyDescent="0.2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4" s="15">
        <f>NC[QTDE]*NC[PREÇO]</f>
        <v>152</v>
      </c>
      <c r="O3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122</v>
      </c>
      <c r="P3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3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3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S34" s="15">
        <f>SETUP!$E$3 * IF(NC[PARCIAL] &gt; 0, NC[QTDE] / NC[PARCIAL], 1)</f>
        <v>14.9</v>
      </c>
      <c r="T34" s="15">
        <f>SUMPRODUCT(N(NC[DATA]=NC[[#This Row],[DATA]]),N(NC[ID]&lt;=NC[[#This Row],[ID]]), NC[CORR])</f>
        <v>29.8</v>
      </c>
      <c r="U34" s="15">
        <f>TRUNC(NC[CORRETAGEM]*SETUP!$F$3,2)</f>
        <v>0.59</v>
      </c>
      <c r="V34" s="15">
        <f>ROUND(NC[CORRETAGEM]*SETUP!$G$3,2)</f>
        <v>1.1599999999999999</v>
      </c>
      <c r="W34" s="15">
        <f>NC[VALOR LÍQUIDO DAS OPERAÇÕES]-NC[TAXA DE LIQUIDAÇÃO]-NC[EMOLUMENTOS]-NC[TAXA DE REGISTRO]-NC[CORRETAGEM]-NC[ISS]-IF(NC['[D/N']]="D",    0,    NC[OUTRAS BOVESPA]) - NC[AJUSTE]</f>
        <v>90.22</v>
      </c>
      <c r="X34" s="15">
        <f>IF(AND(NC['[D/N']]="D",    NC[T]="CV",    NC[LÍQUIDO BASE] &gt; 0),    TRUNC(NC[LÍQUIDO BASE]*0.01, 2),    0)</f>
        <v>0</v>
      </c>
      <c r="Y34" s="15">
        <f>IF(NC[PREÇO] &gt; 0,    NC[LÍQUIDO BASE]-SUMPRODUCT(N(NC[DATA]=NC[[#This Row],[DATA]]),    NC[IRRF FONTE]),    0)</f>
        <v>90.22</v>
      </c>
      <c r="Z34" s="20">
        <f>NC[LÍQUIDO]-SUMPRODUCT(N(NC[DATA]=NC[[#This Row],[DATA]]),N(NC[ID]=(NC[[#This Row],[ID]]-1)),NC[LÍQUIDO])</f>
        <v>136.01999999999998</v>
      </c>
      <c r="AA34" s="15">
        <f>IF(NC[T] = "VC", ABS(NC[VALOR OP]) / NC[QTDE], NC[VALOR OP]/NC[QTDE])</f>
        <v>1.3601999999999999</v>
      </c>
      <c r="AB34" s="15">
        <f>TRUNC(IF(OR(NC[T]="CV",NC[T]="VV"),     N34*SETUP!$H$3,     0),2)</f>
        <v>0</v>
      </c>
      <c r="AC3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D3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F34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4" s="15">
        <f>IF(NC[LUCRO TMP] &lt;&gt; 0, NC[LUCRO TMP] - SUMPRODUCT(N(NC[ATIVO]=NC[[#This Row],[ATIVO]]),N(NC['[D/N']]="N"),N(NC[ID]&lt;NC[[#This Row],[ID]]),N(NC[PAR]=NC[[#This Row],[PAR]]), NC[LUCRO TMP]), 0)</f>
        <v>0</v>
      </c>
      <c r="AH34" s="15">
        <f>IF(NC[U] = "U", SUMPRODUCT(N(NC[ID]&lt;=NC[[#This Row],[ID]]),N(NC[DATA BASE]=NC[[#This Row],[DATA BASE]]), N(NC['[D/N']] = "N"),    NC[LUCRO P/ OP]), 0)</f>
        <v>0</v>
      </c>
      <c r="AI34" s="15">
        <f>IF(NC[U] = "U", SUMPRODUCT(N(NC[DATA BASE]=NC[[#This Row],[DATA BASE]]), N(NC['[D/N']] = "D"),    NC[LUCRO P/ OP]), 0)</f>
        <v>0</v>
      </c>
      <c r="AJ34" s="15">
        <f>IF(NC[U] = "U", SUMPRODUCT(N(NC[DATA BASE]=NC[[#This Row],[DATA BASE]]), N(NC['[D/N']] = "D"),    NC[IRRF FONTE]), 0)</f>
        <v>0</v>
      </c>
    </row>
    <row r="35" spans="1:36" x14ac:dyDescent="0.2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5" s="29">
        <f>NC[QTDE]*NC[PREÇO]</f>
        <v>7.0000000000000009</v>
      </c>
      <c r="O35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-7.0000000000000009</v>
      </c>
      <c r="P35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35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35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35" s="29">
        <f>SETUP!$E$3 * IF(NC[PARCIAL] &gt; 0, NC[QTDE] / NC[PARCIAL], 1)</f>
        <v>14.9</v>
      </c>
      <c r="T35" s="29">
        <f>SUMPRODUCT(N(NC[DATA]=NC[[#This Row],[DATA]]),N(NC[ID]&lt;=NC[[#This Row],[ID]]), NC[CORR])</f>
        <v>14.9</v>
      </c>
      <c r="U35" s="29">
        <f>TRUNC(NC[CORRETAGEM]*SETUP!$F$3,2)</f>
        <v>0.28999999999999998</v>
      </c>
      <c r="V35" s="29">
        <f>ROUND(NC[CORRETAGEM]*SETUP!$G$3,2)</f>
        <v>0.57999999999999996</v>
      </c>
      <c r="W35" s="29">
        <f>NC[VALOR LÍQUIDO DAS OPERAÇÕES]-NC[TAXA DE LIQUIDAÇÃO]-NC[EMOLUMENTOS]-NC[TAXA DE REGISTRO]-NC[CORRETAGEM]-NC[ISS]-IF(NC['[D/N']]="D",    0,    NC[OUTRAS BOVESPA]) - NC[AJUSTE]</f>
        <v>-22.77</v>
      </c>
      <c r="X35" s="29">
        <f>IF(AND(NC['[D/N']]="D",    NC[T]="CV",    NC[LÍQUIDO BASE] &gt; 0),    TRUNC(NC[LÍQUIDO BASE]*0.01, 2),    0)</f>
        <v>0</v>
      </c>
      <c r="Y35" s="15">
        <f>IF(NC[PREÇO] &gt; 0,    NC[LÍQUIDO BASE]-SUMPRODUCT(N(NC[DATA]=NC[[#This Row],[DATA]]),    NC[IRRF FONTE]),    0)</f>
        <v>-22.77</v>
      </c>
      <c r="Z35" s="33">
        <f>NC[LÍQUIDO]-SUMPRODUCT(N(NC[DATA]=NC[[#This Row],[DATA]]),N(NC[ID]=(NC[[#This Row],[ID]]-1)),NC[LÍQUIDO])</f>
        <v>-22.77</v>
      </c>
      <c r="AA35" s="29">
        <f>IF(NC[T] = "VC", ABS(NC[VALOR OP]) / NC[QTDE], NC[VALOR OP]/NC[QTDE])</f>
        <v>0.22769999999999999</v>
      </c>
      <c r="AB35" s="29">
        <f>TRUNC(IF(OR(NC[T]="CV",NC[T]="VV"),     N35*SETUP!$H$3,     0),2)</f>
        <v>0</v>
      </c>
      <c r="AC35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35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0.22769999999999999</v>
      </c>
      <c r="AE35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F35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154.20000000000002</v>
      </c>
      <c r="AG35" s="29">
        <f>IF(NC[LUCRO TMP] &lt;&gt; 0, NC[LUCRO TMP] - SUMPRODUCT(N(NC[ATIVO]=NC[[#This Row],[ATIVO]]),N(NC['[D/N']]="N"),N(NC[ID]&lt;NC[[#This Row],[ID]]),N(NC[PAR]=NC[[#This Row],[PAR]]), NC[LUCRO TMP]), 0)</f>
        <v>154.20000000000002</v>
      </c>
      <c r="AH35" s="29">
        <f>IF(NC[U] = "U", SUMPRODUCT(N(NC[ID]&lt;=NC[[#This Row],[ID]]),N(NC[DATA BASE]=NC[[#This Row],[DATA BASE]]), N(NC['[D/N']] = "N"),    NC[LUCRO P/ OP]), 0)</f>
        <v>0</v>
      </c>
      <c r="AI35" s="29">
        <f>IF(NC[U] = "U", SUMPRODUCT(N(NC[DATA BASE]=NC[[#This Row],[DATA BASE]]), N(NC['[D/N']] = "D"),    NC[LUCRO P/ OP]), 0)</f>
        <v>0</v>
      </c>
      <c r="AJ35" s="15">
        <f>IF(NC[U] = "U", SUMPRODUCT(N(NC[DATA BASE]=NC[[#This Row],[DATA BASE]]), N(NC['[D/N']] = "D"),    NC[IRRF FONTE]), 0)</f>
        <v>0</v>
      </c>
    </row>
    <row r="36" spans="1:36" x14ac:dyDescent="0.2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6" s="42">
        <f>NC[QTDE]*NC[PREÇO]</f>
        <v>918</v>
      </c>
      <c r="O36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911</v>
      </c>
      <c r="P36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36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R36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0.64</v>
      </c>
      <c r="S36" s="42">
        <f>SETUP!$E$3 * IF(NC[PARCIAL] &gt; 0, NC[QTDE] / NC[PARCIAL], 1)</f>
        <v>14.9</v>
      </c>
      <c r="T36" s="42">
        <f>SUMPRODUCT(N(NC[DATA]=NC[[#This Row],[DATA]]),N(NC[ID]&lt;=NC[[#This Row],[ID]]), NC[CORR])</f>
        <v>29.8</v>
      </c>
      <c r="U36" s="42">
        <f>TRUNC(NC[CORRETAGEM]*SETUP!$F$3,2)</f>
        <v>0.59</v>
      </c>
      <c r="V36" s="42">
        <f>ROUND(NC[CORRETAGEM]*SETUP!$G$3,2)</f>
        <v>1.1599999999999999</v>
      </c>
      <c r="W36" s="42">
        <f>NC[VALOR LÍQUIDO DAS OPERAÇÕES]-NC[TAXA DE LIQUIDAÇÃO]-NC[EMOLUMENTOS]-NC[TAXA DE REGISTRO]-NC[CORRETAGEM]-NC[ISS]-IF(NC['[D/N']]="D",    0,    NC[OUTRAS BOVESPA]) - NC[AJUSTE]</f>
        <v>878.22</v>
      </c>
      <c r="X36" s="42">
        <f>IF(AND(NC['[D/N']]="D",    NC[T]="CV",    NC[LÍQUIDO BASE] &gt; 0),    TRUNC(NC[LÍQUIDO BASE]*0.01, 2),    0)</f>
        <v>0</v>
      </c>
      <c r="Y36" s="15">
        <f>IF(NC[PREÇO] &gt; 0,    NC[LÍQUIDO BASE]-SUMPRODUCT(N(NC[DATA]=NC[[#This Row],[DATA]]),    NC[IRRF FONTE]),    0)</f>
        <v>878.22</v>
      </c>
      <c r="Z36" s="46">
        <f>NC[LÍQUIDO]-SUMPRODUCT(N(NC[DATA]=NC[[#This Row],[DATA]]),N(NC[ID]=(NC[[#This Row],[ID]]-1)),NC[LÍQUIDO])</f>
        <v>900.99</v>
      </c>
      <c r="AA36" s="42">
        <f>IF(NC[T] = "VC", ABS(NC[VALOR OP]) / NC[QTDE], NC[VALOR OP]/NC[QTDE])</f>
        <v>1.0011000000000001</v>
      </c>
      <c r="AB36" s="42">
        <f>TRUNC(IF(OR(NC[T]="CV",NC[T]="VV"),     N36*SETUP!$H$3,     0),2)</f>
        <v>0.04</v>
      </c>
      <c r="AC36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-900</v>
      </c>
      <c r="AD36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6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F36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6" s="42">
        <f>IF(NC[LUCRO TMP] &lt;&gt; 0, NC[LUCRO TMP] - SUMPRODUCT(N(NC[ATIVO]=NC[[#This Row],[ATIVO]]),N(NC['[D/N']]="N"),N(NC[ID]&lt;NC[[#This Row],[ID]]),N(NC[PAR]=NC[[#This Row],[PAR]]), NC[LUCRO TMP]), 0)</f>
        <v>0</v>
      </c>
      <c r="AH36" s="42">
        <f>IF(NC[U] = "U", SUMPRODUCT(N(NC[ID]&lt;=NC[[#This Row],[ID]]),N(NC[DATA BASE]=NC[[#This Row],[DATA BASE]]), N(NC['[D/N']] = "N"),    NC[LUCRO P/ OP]), 0)</f>
        <v>0</v>
      </c>
      <c r="AI36" s="42">
        <f>IF(NC[U] = "U", SUMPRODUCT(N(NC[DATA BASE]=NC[[#This Row],[DATA BASE]]), N(NC['[D/N']] = "D"),    NC[LUCRO P/ OP]), 0)</f>
        <v>0</v>
      </c>
      <c r="AJ36" s="15">
        <f>IF(NC[U] = "U", SUMPRODUCT(N(NC[DATA BASE]=NC[[#This Row],[DATA BASE]]), N(NC['[D/N']] = "D"),    NC[IRRF FONTE]), 0)</f>
        <v>0</v>
      </c>
    </row>
    <row r="37" spans="1:36" x14ac:dyDescent="0.2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7" s="42">
        <f>NC[QTDE]*NC[PREÇO]</f>
        <v>450</v>
      </c>
      <c r="O37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461</v>
      </c>
      <c r="P37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0.37</v>
      </c>
      <c r="Q37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</v>
      </c>
      <c r="R37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0.95</v>
      </c>
      <c r="S37" s="42">
        <f>SETUP!$E$3 * IF(NC[PARCIAL] &gt; 0, NC[QTDE] / NC[PARCIAL], 1)</f>
        <v>14.9</v>
      </c>
      <c r="T37" s="42">
        <f>SUMPRODUCT(N(NC[DATA]=NC[[#This Row],[DATA]]),N(NC[ID]&lt;=NC[[#This Row],[ID]]), NC[CORR])</f>
        <v>44.7</v>
      </c>
      <c r="U37" s="42">
        <f>TRUNC(NC[CORRETAGEM]*SETUP!$F$3,2)</f>
        <v>0.89</v>
      </c>
      <c r="V37" s="42">
        <f>ROUND(NC[CORRETAGEM]*SETUP!$G$3,2)</f>
        <v>1.74</v>
      </c>
      <c r="W37" s="42">
        <f>NC[VALOR LÍQUIDO DAS OPERAÇÕES]-NC[TAXA DE LIQUIDAÇÃO]-NC[EMOLUMENTOS]-NC[TAXA DE REGISTRO]-NC[CORRETAGEM]-NC[ISS]-IF(NC['[D/N']]="D",    0,    NC[OUTRAS BOVESPA]) - NC[AJUSTE]</f>
        <v>411.85</v>
      </c>
      <c r="X37" s="42">
        <f>IF(AND(NC['[D/N']]="D",    NC[T]="CV",    NC[LÍQUIDO BASE] &gt; 0),    TRUNC(NC[LÍQUIDO BASE]*0.01, 2),    0)</f>
        <v>0</v>
      </c>
      <c r="Y37" s="15">
        <f>IF(NC[PREÇO] &gt; 0,    NC[LÍQUIDO BASE]-SUMPRODUCT(N(NC[DATA]=NC[[#This Row],[DATA]]),    NC[IRRF FONTE]),    0)</f>
        <v>411.85</v>
      </c>
      <c r="Z37" s="46">
        <f>NC[LÍQUIDO]-SUMPRODUCT(N(NC[DATA]=NC[[#This Row],[DATA]]),N(NC[ID]=(NC[[#This Row],[ID]]-1)),NC[LÍQUIDO])</f>
        <v>-466.37</v>
      </c>
      <c r="AA37" s="42">
        <f>IF(NC[T] = "VC", ABS(NC[VALOR OP]) / NC[QTDE], NC[VALOR OP]/NC[QTDE])</f>
        <v>-0.51818888888888892</v>
      </c>
      <c r="AB37" s="42">
        <f>TRUNC(IF(OR(NC[T]="CV",NC[T]="VV"),     N37*SETUP!$H$3,     0),2)</f>
        <v>0</v>
      </c>
      <c r="AC37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900</v>
      </c>
      <c r="AD37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E37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7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7" s="42">
        <f>IF(NC[LUCRO TMP] &lt;&gt; 0, NC[LUCRO TMP] - SUMPRODUCT(N(NC[ATIVO]=NC[[#This Row],[ATIVO]]),N(NC['[D/N']]="N"),N(NC[ID]&lt;NC[[#This Row],[ID]]),N(NC[PAR]=NC[[#This Row],[PAR]]), NC[LUCRO TMP]), 0)</f>
        <v>0</v>
      </c>
      <c r="AH37" s="42">
        <f>IF(NC[U] = "U", SUMPRODUCT(N(NC[ID]&lt;=NC[[#This Row],[ID]]),N(NC[DATA BASE]=NC[[#This Row],[DATA BASE]]), N(NC['[D/N']] = "N"),    NC[LUCRO P/ OP]), 0)</f>
        <v>0</v>
      </c>
      <c r="AI37" s="42">
        <f>IF(NC[U] = "U", SUMPRODUCT(N(NC[DATA BASE]=NC[[#This Row],[DATA BASE]]), N(NC['[D/N']] = "D"),    NC[LUCRO P/ OP]), 0)</f>
        <v>0</v>
      </c>
      <c r="AJ37" s="15">
        <f>IF(NC[U] = "U", SUMPRODUCT(N(NC[DATA BASE]=NC[[#This Row],[DATA BASE]]), N(NC['[D/N']] = "D"),    NC[IRRF FONTE]), 0)</f>
        <v>0</v>
      </c>
    </row>
    <row r="38" spans="1:36" x14ac:dyDescent="0.2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8" s="15">
        <f>NC[QTDE]*NC[PREÇO]</f>
        <v>138</v>
      </c>
      <c r="O3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-138</v>
      </c>
      <c r="P3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3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3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38" s="15">
        <f>SETUP!$E$3 * IF(NC[PARCIAL] &gt; 0, NC[QTDE] / NC[PARCIAL], 1)</f>
        <v>14.9</v>
      </c>
      <c r="T38" s="15">
        <f>SUMPRODUCT(N(NC[DATA]=NC[[#This Row],[DATA]]),N(NC[ID]&lt;=NC[[#This Row],[ID]]), NC[CORR])</f>
        <v>14.9</v>
      </c>
      <c r="U38" s="15">
        <f>TRUNC(NC[CORRETAGEM]*SETUP!$F$3,2)</f>
        <v>0.28999999999999998</v>
      </c>
      <c r="V38" s="15">
        <f>ROUND(NC[CORRETAGEM]*SETUP!$G$3,2)</f>
        <v>0.57999999999999996</v>
      </c>
      <c r="W38" s="15">
        <f>NC[VALOR LÍQUIDO DAS OPERAÇÕES]-NC[TAXA DE LIQUIDAÇÃO]-NC[EMOLUMENTOS]-NC[TAXA DE REGISTRO]-NC[CORRETAGEM]-NC[ISS]-IF(NC['[D/N']]="D",    0,    NC[OUTRAS BOVESPA]) - NC[AJUSTE]</f>
        <v>-153.94000000000003</v>
      </c>
      <c r="X38" s="15">
        <f>IF(AND(NC['[D/N']]="D",    NC[T]="CV",    NC[LÍQUIDO BASE] &gt; 0),    TRUNC(NC[LÍQUIDO BASE]*0.01, 2),    0)</f>
        <v>0</v>
      </c>
      <c r="Y38" s="15">
        <f>IF(NC[PREÇO] &gt; 0,    NC[LÍQUIDO BASE]-SUMPRODUCT(N(NC[DATA]=NC[[#This Row],[DATA]]),    NC[IRRF FONTE]),    0)</f>
        <v>-153.94000000000003</v>
      </c>
      <c r="Z38" s="20">
        <f>NC[LÍQUIDO]-SUMPRODUCT(N(NC[DATA]=NC[[#This Row],[DATA]]),N(NC[ID]=(NC[[#This Row],[ID]]-1)),NC[LÍQUIDO])</f>
        <v>-153.94000000000003</v>
      </c>
      <c r="AA38" s="15">
        <f>IF(NC[T] = "VC", ABS(NC[VALOR OP]) / NC[QTDE], NC[VALOR OP]/NC[QTDE])</f>
        <v>-0.76970000000000016</v>
      </c>
      <c r="AB38" s="15">
        <f>TRUNC(IF(OR(NC[T]="CV",NC[T]="VV"),     N38*SETUP!$H$3,     0),2)</f>
        <v>0</v>
      </c>
      <c r="AC3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D3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E3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8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8" s="15">
        <f>IF(NC[LUCRO TMP] &lt;&gt; 0, NC[LUCRO TMP] - SUMPRODUCT(N(NC[ATIVO]=NC[[#This Row],[ATIVO]]),N(NC['[D/N']]="N"),N(NC[ID]&lt;NC[[#This Row],[ID]]),N(NC[PAR]=NC[[#This Row],[PAR]]), NC[LUCRO TMP]), 0)</f>
        <v>0</v>
      </c>
      <c r="AH38" s="15">
        <f>IF(NC[U] = "U", SUMPRODUCT(N(NC[ID]&lt;=NC[[#This Row],[ID]]),N(NC[DATA BASE]=NC[[#This Row],[DATA BASE]]), N(NC['[D/N']] = "N"),    NC[LUCRO P/ OP]), 0)</f>
        <v>0</v>
      </c>
      <c r="AI38" s="15">
        <f>IF(NC[U] = "U", SUMPRODUCT(N(NC[DATA BASE]=NC[[#This Row],[DATA BASE]]), N(NC['[D/N']] = "D"),    NC[LUCRO P/ OP]), 0)</f>
        <v>0</v>
      </c>
      <c r="AJ38" s="15">
        <f>IF(NC[U] = "U", SUMPRODUCT(N(NC[DATA BASE]=NC[[#This Row],[DATA BASE]]), N(NC['[D/N']] = "D"),    NC[IRRF FONTE]), 0)</f>
        <v>0</v>
      </c>
    </row>
    <row r="39" spans="1:36" x14ac:dyDescent="0.2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9" s="15">
        <f>NC[QTDE]*NC[PREÇO]</f>
        <v>274</v>
      </c>
      <c r="O3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P3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3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R3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0.28000000000000003</v>
      </c>
      <c r="S39" s="15">
        <f>SETUP!$E$3 * IF(NC[PARCIAL] &gt; 0, NC[QTDE] / NC[PARCIAL], 1)</f>
        <v>14.9</v>
      </c>
      <c r="T39" s="15">
        <f>SUMPRODUCT(N(NC[DATA]=NC[[#This Row],[DATA]]),N(NC[ID]&lt;=NC[[#This Row],[ID]]), NC[CORR])</f>
        <v>29.8</v>
      </c>
      <c r="U39" s="15">
        <f>TRUNC(NC[CORRETAGEM]*SETUP!$F$3,2)</f>
        <v>0.59</v>
      </c>
      <c r="V39" s="15">
        <f>ROUND(NC[CORRETAGEM]*SETUP!$G$3,2)</f>
        <v>1.1599999999999999</v>
      </c>
      <c r="W39" s="15">
        <f>NC[VALOR LÍQUIDO DAS OPERAÇÕES]-NC[TAXA DE LIQUIDAÇÃO]-NC[EMOLUMENTOS]-NC[TAXA DE REGISTRO]-NC[CORRETAGEM]-NC[ISS]-IF(NC['[D/N']]="D",    0,    NC[OUTRAS BOVESPA]) - NC[AJUSTE]</f>
        <v>103.90999999999998</v>
      </c>
      <c r="X39" s="15">
        <f>IF(AND(NC['[D/N']]="D",    NC[T]="CV",    NC[LÍQUIDO BASE] &gt; 0),    TRUNC(NC[LÍQUIDO BASE]*0.01, 2),    0)</f>
        <v>0</v>
      </c>
      <c r="Y39" s="15">
        <f>IF(NC[PREÇO] &gt; 0,    NC[LÍQUIDO BASE]-SUMPRODUCT(N(NC[DATA]=NC[[#This Row],[DATA]]),    NC[IRRF FONTE]),    0)</f>
        <v>103.90999999999998</v>
      </c>
      <c r="Z39" s="20">
        <f>NC[LÍQUIDO]-SUMPRODUCT(N(NC[DATA]=NC[[#This Row],[DATA]]),N(NC[ID]=(NC[[#This Row],[ID]]-1)),NC[LÍQUIDO])</f>
        <v>257.85000000000002</v>
      </c>
      <c r="AA39" s="15">
        <f>IF(NC[T] = "VC", ABS(NC[VALOR OP]) / NC[QTDE], NC[VALOR OP]/NC[QTDE])</f>
        <v>1.28925</v>
      </c>
      <c r="AB39" s="15">
        <f>TRUNC(IF(OR(NC[T]="CV",NC[T]="VV"),     N39*SETUP!$H$3,     0),2)</f>
        <v>0.01</v>
      </c>
      <c r="AC3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-200</v>
      </c>
      <c r="AD3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F3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9" s="15">
        <f>IF(NC[LUCRO TMP] &lt;&gt; 0, NC[LUCRO TMP] - SUMPRODUCT(N(NC[ATIVO]=NC[[#This Row],[ATIVO]]),N(NC['[D/N']]="N"),N(NC[ID]&lt;NC[[#This Row],[ID]]),N(NC[PAR]=NC[[#This Row],[PAR]]), NC[LUCRO TMP]), 0)</f>
        <v>0</v>
      </c>
      <c r="AH39" s="15">
        <f>IF(NC[U] = "U", SUMPRODUCT(N(NC[ID]&lt;=NC[[#This Row],[ID]]),N(NC[DATA BASE]=NC[[#This Row],[DATA BASE]]), N(NC['[D/N']] = "N"),    NC[LUCRO P/ OP]), 0)</f>
        <v>0</v>
      </c>
      <c r="AI39" s="15">
        <f>IF(NC[U] = "U", SUMPRODUCT(N(NC[DATA BASE]=NC[[#This Row],[DATA BASE]]), N(NC['[D/N']] = "D"),    NC[LUCRO P/ OP]), 0)</f>
        <v>0</v>
      </c>
      <c r="AJ39" s="15">
        <f>IF(NC[U] = "U", SUMPRODUCT(N(NC[DATA BASE]=NC[[#This Row],[DATA BASE]]), N(NC['[D/N']] = "D"),    NC[IRRF FONTE]), 0)</f>
        <v>0</v>
      </c>
    </row>
    <row r="40" spans="1:36" x14ac:dyDescent="0.2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0" s="15">
        <f>NC[QTDE]*NC[PREÇO]</f>
        <v>28.999999999999996</v>
      </c>
      <c r="O4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-28.999999999999996</v>
      </c>
      <c r="P4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R4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S40" s="15">
        <f>SETUP!$E$3 * IF(NC[PARCIAL] &gt; 0, NC[QTDE] / NC[PARCIAL], 1)</f>
        <v>14.9</v>
      </c>
      <c r="T40" s="15">
        <f>SUMPRODUCT(N(NC[DATA]=NC[[#This Row],[DATA]]),N(NC[ID]&lt;=NC[[#This Row],[ID]]), NC[CORR])</f>
        <v>14.9</v>
      </c>
      <c r="U40" s="15">
        <f>TRUNC(NC[CORRETAGEM]*SETUP!$F$3,2)</f>
        <v>0.28999999999999998</v>
      </c>
      <c r="V40" s="15">
        <f>ROUND(NC[CORRETAGEM]*SETUP!$G$3,2)</f>
        <v>0.57999999999999996</v>
      </c>
      <c r="W40" s="15">
        <f>NC[VALOR LÍQUIDO DAS OPERAÇÕES]-NC[TAXA DE LIQUIDAÇÃO]-NC[EMOLUMENTOS]-NC[TAXA DE REGISTRO]-NC[CORRETAGEM]-NC[ISS]-IF(NC['[D/N']]="D",    0,    NC[OUTRAS BOVESPA]) - NC[AJUSTE]</f>
        <v>-44.8</v>
      </c>
      <c r="X40" s="15">
        <f>IF(AND(NC['[D/N']]="D",    NC[T]="CV",    NC[LÍQUIDO BASE] &gt; 0),    TRUNC(NC[LÍQUIDO BASE]*0.01, 2),    0)</f>
        <v>0</v>
      </c>
      <c r="Y40" s="15">
        <f>IF(NC[PREÇO] &gt; 0,    NC[LÍQUIDO BASE]-SUMPRODUCT(N(NC[DATA]=NC[[#This Row],[DATA]]),    NC[IRRF FONTE]),    0)</f>
        <v>-44.8</v>
      </c>
      <c r="Z40" s="20">
        <f>NC[LÍQUIDO]-SUMPRODUCT(N(NC[DATA]=NC[[#This Row],[DATA]]),N(NC[ID]=(NC[[#This Row],[ID]]-1)),NC[LÍQUIDO])</f>
        <v>-44.8</v>
      </c>
      <c r="AA40" s="15">
        <f>IF(NC[T] = "VC", ABS(NC[VALOR OP]) / NC[QTDE], NC[VALOR OP]/NC[QTDE])</f>
        <v>0.44799999999999995</v>
      </c>
      <c r="AB40" s="15">
        <f>TRUNC(IF(OR(NC[T]="CV",NC[T]="VV"),     N40*SETUP!$H$3,     0),2)</f>
        <v>0</v>
      </c>
      <c r="AC4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0.44799999999999995</v>
      </c>
      <c r="AE4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F4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91.219999999999985</v>
      </c>
      <c r="AG40" s="15">
        <f>IF(NC[LUCRO TMP] &lt;&gt; 0, NC[LUCRO TMP] - SUMPRODUCT(N(NC[ATIVO]=NC[[#This Row],[ATIVO]]),N(NC['[D/N']]="N"),N(NC[ID]&lt;NC[[#This Row],[ID]]),N(NC[PAR]=NC[[#This Row],[PAR]]), NC[LUCRO TMP]), 0)</f>
        <v>91.219999999999985</v>
      </c>
      <c r="AH40" s="15">
        <f>IF(NC[U] = "U", SUMPRODUCT(N(NC[ID]&lt;=NC[[#This Row],[ID]]),N(NC[DATA BASE]=NC[[#This Row],[DATA BASE]]), N(NC['[D/N']] = "N"),    NC[LUCRO P/ OP]), 0)</f>
        <v>0</v>
      </c>
      <c r="AI40" s="15">
        <f>IF(NC[U] = "U", SUMPRODUCT(N(NC[DATA BASE]=NC[[#This Row],[DATA BASE]]), N(NC['[D/N']] = "D"),    NC[LUCRO P/ OP]), 0)</f>
        <v>0</v>
      </c>
      <c r="AJ40" s="15">
        <f>IF(NC[U] = "U", SUMPRODUCT(N(NC[DATA BASE]=NC[[#This Row],[DATA BASE]]), N(NC['[D/N']] = "D"),    NC[IRRF FONTE]), 0)</f>
        <v>0</v>
      </c>
    </row>
    <row r="41" spans="1:36" x14ac:dyDescent="0.2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1" s="42">
        <f>NC[QTDE]*NC[PREÇO]</f>
        <v>36</v>
      </c>
      <c r="O41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-65</v>
      </c>
      <c r="P41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Q41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41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41" s="42">
        <f>SETUP!$E$3 * IF(NC[PARCIAL] &gt; 0, NC[QTDE] / NC[PARCIAL], 1)</f>
        <v>14.9</v>
      </c>
      <c r="T41" s="42">
        <f>SUMPRODUCT(N(NC[DATA]=NC[[#This Row],[DATA]]),N(NC[ID]&lt;=NC[[#This Row],[ID]]), NC[CORR])</f>
        <v>29.8</v>
      </c>
      <c r="U41" s="42">
        <f>TRUNC(NC[CORRETAGEM]*SETUP!$F$3,2)</f>
        <v>0.59</v>
      </c>
      <c r="V41" s="42">
        <f>ROUND(NC[CORRETAGEM]*SETUP!$G$3,2)</f>
        <v>1.1599999999999999</v>
      </c>
      <c r="W41" s="42">
        <f>NC[VALOR LÍQUIDO DAS OPERAÇÕES]-NC[TAXA DE LIQUIDAÇÃO]-NC[EMOLUMENTOS]-NC[TAXA DE REGISTRO]-NC[CORRETAGEM]-NC[ISS]-IF(NC['[D/N']]="D",    0,    NC[OUTRAS BOVESPA]) - NC[AJUSTE]</f>
        <v>-96.62</v>
      </c>
      <c r="X41" s="42">
        <f>IF(AND(NC['[D/N']]="D",    NC[T]="CV",    NC[LÍQUIDO BASE] &gt; 0),    TRUNC(NC[LÍQUIDO BASE]*0.01, 2),    0)</f>
        <v>0</v>
      </c>
      <c r="Y41" s="15">
        <f>IF(NC[PREÇO] &gt; 0,    NC[LÍQUIDO BASE]-SUMPRODUCT(N(NC[DATA]=NC[[#This Row],[DATA]]),    NC[IRRF FONTE]),    0)</f>
        <v>-96.62</v>
      </c>
      <c r="Z41" s="46">
        <f>NC[LÍQUIDO]-SUMPRODUCT(N(NC[DATA]=NC[[#This Row],[DATA]]),N(NC[ID]=(NC[[#This Row],[ID]]-1)),NC[LÍQUIDO])</f>
        <v>-51.820000000000007</v>
      </c>
      <c r="AA41" s="42">
        <f>IF(NC[T] = "VC", ABS(NC[VALOR OP]) / NC[QTDE], NC[VALOR OP]/NC[QTDE])</f>
        <v>5.7577777777777783E-2</v>
      </c>
      <c r="AB41" s="42">
        <f>TRUNC(IF(OR(NC[T]="CV",NC[T]="VV"),     N41*SETUP!$H$3,     0),2)</f>
        <v>0</v>
      </c>
      <c r="AC41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1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5.7577777777777783E-2</v>
      </c>
      <c r="AE41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F41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849.17000000000019</v>
      </c>
      <c r="AG41" s="42">
        <f>IF(NC[LUCRO TMP] &lt;&gt; 0, NC[LUCRO TMP] - SUMPRODUCT(N(NC[ATIVO]=NC[[#This Row],[ATIVO]]),N(NC['[D/N']]="N"),N(NC[ID]&lt;NC[[#This Row],[ID]]),N(NC[PAR]=NC[[#This Row],[PAR]]), NC[LUCRO TMP]), 0)</f>
        <v>849.17000000000019</v>
      </c>
      <c r="AH41" s="42">
        <f>IF(NC[U] = "U", SUMPRODUCT(N(NC[ID]&lt;=NC[[#This Row],[ID]]),N(NC[DATA BASE]=NC[[#This Row],[DATA BASE]]), N(NC['[D/N']] = "N"),    NC[LUCRO P/ OP]), 0)</f>
        <v>0</v>
      </c>
      <c r="AI41" s="42">
        <f>IF(NC[U] = "U", SUMPRODUCT(N(NC[DATA BASE]=NC[[#This Row],[DATA BASE]]), N(NC['[D/N']] = "D"),    NC[LUCRO P/ OP]), 0)</f>
        <v>0</v>
      </c>
      <c r="AJ41" s="15">
        <f>IF(NC[U] = "U", SUMPRODUCT(N(NC[DATA BASE]=NC[[#This Row],[DATA BASE]]), N(NC['[D/N']] = "D"),    NC[IRRF FONTE]), 0)</f>
        <v>0</v>
      </c>
    </row>
    <row r="42" spans="1:36" x14ac:dyDescent="0.2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2" s="29">
        <f>NC[QTDE]*NC[PREÇO]</f>
        <v>0</v>
      </c>
      <c r="O42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2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2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2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2" s="29">
        <f>SETUP!$E$3 * IF(NC[PARCIAL] &gt; 0, NC[QTDE] / NC[PARCIAL], 1)</f>
        <v>14.9</v>
      </c>
      <c r="T42" s="29">
        <f>SUMPRODUCT(N(NC[DATA]=NC[[#This Row],[DATA]]),N(NC[ID]&lt;=NC[[#This Row],[ID]]), NC[CORR])</f>
        <v>14.9</v>
      </c>
      <c r="U42" s="29">
        <f>TRUNC(NC[CORRETAGEM]*SETUP!$F$3,2)</f>
        <v>0.28999999999999998</v>
      </c>
      <c r="V42" s="29">
        <f>ROUND(NC[CORRETAGEM]*SETUP!$G$3,2)</f>
        <v>0.57999999999999996</v>
      </c>
      <c r="W42" s="29">
        <f>NC[VALOR LÍQUIDO DAS OPERAÇÕES]-NC[TAXA DE LIQUIDAÇÃO]-NC[EMOLUMENTOS]-NC[TAXA DE REGISTRO]-NC[CORRETAGEM]-NC[ISS]-IF(NC['[D/N']]="D",    0,    NC[OUTRAS BOVESPA]) - NC[AJUSTE]</f>
        <v>-15.77</v>
      </c>
      <c r="X42" s="29">
        <f>IF(AND(NC['[D/N']]="D",    NC[T]="CV",    NC[LÍQUIDO BASE] &gt; 0),    TRUNC(NC[LÍQUIDO BASE]*0.01, 2),    0)</f>
        <v>0</v>
      </c>
      <c r="Y42" s="15">
        <f>IF(NC[PREÇO] &gt; 0,    NC[LÍQUIDO BASE]-SUMPRODUCT(N(NC[DATA]=NC[[#This Row],[DATA]]),    NC[IRRF FONTE]),    0)</f>
        <v>0</v>
      </c>
      <c r="Z42" s="33">
        <f>NC[LÍQUIDO]-SUMPRODUCT(N(NC[DATA]=NC[[#This Row],[DATA]]),N(NC[ID]=(NC[[#This Row],[ID]]-1)),NC[LÍQUIDO])</f>
        <v>0</v>
      </c>
      <c r="AA42" s="29">
        <f>IF(NC[T] = "VC", ABS(NC[VALOR OP]) / NC[QTDE], NC[VALOR OP]/NC[QTDE])</f>
        <v>0</v>
      </c>
      <c r="AB42" s="29">
        <f>TRUNC(IF(OR(NC[T]="CV",NC[T]="VV"),     N42*SETUP!$H$3,     0),2)</f>
        <v>0</v>
      </c>
      <c r="AC42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2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E42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2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-90.86</v>
      </c>
      <c r="AG42" s="29">
        <f>IF(NC[LUCRO TMP] &lt;&gt; 0, NC[LUCRO TMP] - SUMPRODUCT(N(NC[ATIVO]=NC[[#This Row],[ATIVO]]),N(NC['[D/N']]="N"),N(NC[ID]&lt;NC[[#This Row],[ID]]),N(NC[PAR]=NC[[#This Row],[PAR]]), NC[LUCRO TMP]), 0)</f>
        <v>-90.86</v>
      </c>
      <c r="AH42" s="29">
        <f>IF(NC[U] = "U", SUMPRODUCT(N(NC[ID]&lt;=NC[[#This Row],[ID]]),N(NC[DATA BASE]=NC[[#This Row],[DATA BASE]]), N(NC['[D/N']] = "N"),    NC[LUCRO P/ OP]), 0)</f>
        <v>0</v>
      </c>
      <c r="AI42" s="29">
        <f>IF(NC[U] = "U", SUMPRODUCT(N(NC[DATA BASE]=NC[[#This Row],[DATA BASE]]), N(NC['[D/N']] = "D"),    NC[LUCRO P/ OP]), 0)</f>
        <v>0</v>
      </c>
      <c r="AJ42" s="15">
        <f>IF(NC[U] = "U", SUMPRODUCT(N(NC[DATA BASE]=NC[[#This Row],[DATA BASE]]), N(NC['[D/N']] = "D"),    NC[IRRF FONTE]), 0)</f>
        <v>0</v>
      </c>
    </row>
    <row r="43" spans="1:36" x14ac:dyDescent="0.2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3" s="15">
        <f>NC[QTDE]*NC[PREÇO]</f>
        <v>0</v>
      </c>
      <c r="O4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3" s="15">
        <f>SETUP!$E$3 * IF(NC[PARCIAL] &gt; 0, NC[QTDE] / NC[PARCIAL], 1)</f>
        <v>14.9</v>
      </c>
      <c r="T43" s="15">
        <f>SUMPRODUCT(N(NC[DATA]=NC[[#This Row],[DATA]]),N(NC[ID]&lt;=NC[[#This Row],[ID]]), NC[CORR])</f>
        <v>29.8</v>
      </c>
      <c r="U43" s="15">
        <f>TRUNC(NC[CORRETAGEM]*SETUP!$F$3,2)</f>
        <v>0.59</v>
      </c>
      <c r="V43" s="15">
        <f>ROUND(NC[CORRETAGEM]*SETUP!$G$3,2)</f>
        <v>1.1599999999999999</v>
      </c>
      <c r="W43" s="15">
        <f>NC[VALOR LÍQUIDO DAS OPERAÇÕES]-NC[TAXA DE LIQUIDAÇÃO]-NC[EMOLUMENTOS]-NC[TAXA DE REGISTRO]-NC[CORRETAGEM]-NC[ISS]-IF(NC['[D/N']]="D",    0,    NC[OUTRAS BOVESPA]) - NC[AJUSTE]</f>
        <v>-31.55</v>
      </c>
      <c r="X43" s="15">
        <f>IF(AND(NC['[D/N']]="D",    NC[T]="CV",    NC[LÍQUIDO BASE] &gt; 0),    TRUNC(NC[LÍQUIDO BASE]*0.01, 2),    0)</f>
        <v>0</v>
      </c>
      <c r="Y43" s="15">
        <f>IF(NC[PREÇO] &gt; 0,    NC[LÍQUIDO BASE]-SUMPRODUCT(N(NC[DATA]=NC[[#This Row],[DATA]]),    NC[IRRF FONTE]),    0)</f>
        <v>0</v>
      </c>
      <c r="Z43" s="20">
        <f>NC[LÍQUIDO]-SUMPRODUCT(N(NC[DATA]=NC[[#This Row],[DATA]]),N(NC[ID]=(NC[[#This Row],[ID]]-1)),NC[LÍQUIDO])</f>
        <v>0</v>
      </c>
      <c r="AA43" s="15">
        <f>IF(NC[T] = "VC", ABS(NC[VALOR OP]) / NC[QTDE], NC[VALOR OP]/NC[QTDE])</f>
        <v>0</v>
      </c>
      <c r="AB43" s="15">
        <f>TRUNC(IF(OR(NC[T]="CV",NC[T]="VV"),     N43*SETUP!$H$3,     0),2)</f>
        <v>0</v>
      </c>
      <c r="AC4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E4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-123.89000000000001</v>
      </c>
      <c r="AG43" s="15">
        <f>IF(NC[LUCRO TMP] &lt;&gt; 0, NC[LUCRO TMP] - SUMPRODUCT(N(NC[ATIVO]=NC[[#This Row],[ATIVO]]),N(NC['[D/N']]="N"),N(NC[ID]&lt;NC[[#This Row],[ID]]),N(NC[PAR]=NC[[#This Row],[PAR]]), NC[LUCRO TMP]), 0)</f>
        <v>-123.89000000000001</v>
      </c>
      <c r="AH43" s="15">
        <f>IF(NC[U] = "U", SUMPRODUCT(N(NC[ID]&lt;=NC[[#This Row],[ID]]),N(NC[DATA BASE]=NC[[#This Row],[DATA BASE]]), N(NC['[D/N']] = "N"),    NC[LUCRO P/ OP]), 0)</f>
        <v>0</v>
      </c>
      <c r="AI43" s="15">
        <f>IF(NC[U] = "U", SUMPRODUCT(N(NC[DATA BASE]=NC[[#This Row],[DATA BASE]]), N(NC['[D/N']] = "D"),    NC[LUCRO P/ OP]), 0)</f>
        <v>0</v>
      </c>
      <c r="AJ43" s="15">
        <f>IF(NC[U] = "U", SUMPRODUCT(N(NC[DATA BASE]=NC[[#This Row],[DATA BASE]]), N(NC['[D/N']] = "D"),    NC[IRRF FONTE]), 0)</f>
        <v>0</v>
      </c>
    </row>
    <row r="44" spans="1:36" x14ac:dyDescent="0.2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4" s="15">
        <f>NC[QTDE]*NC[PREÇO]</f>
        <v>0</v>
      </c>
      <c r="O4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4" s="15">
        <f>SETUP!$E$3 * IF(NC[PARCIAL] &gt; 0, NC[QTDE] / NC[PARCIAL], 1)</f>
        <v>14.9</v>
      </c>
      <c r="T44" s="15">
        <f>SUMPRODUCT(N(NC[DATA]=NC[[#This Row],[DATA]]),N(NC[ID]&lt;=NC[[#This Row],[ID]]), NC[CORR])</f>
        <v>44.7</v>
      </c>
      <c r="U44" s="15">
        <f>TRUNC(NC[CORRETAGEM]*SETUP!$F$3,2)</f>
        <v>0.89</v>
      </c>
      <c r="V44" s="15">
        <f>ROUND(NC[CORRETAGEM]*SETUP!$G$3,2)</f>
        <v>1.74</v>
      </c>
      <c r="W44" s="15">
        <f>NC[VALOR LÍQUIDO DAS OPERAÇÕES]-NC[TAXA DE LIQUIDAÇÃO]-NC[EMOLUMENTOS]-NC[TAXA DE REGISTRO]-NC[CORRETAGEM]-NC[ISS]-IF(NC['[D/N']]="D",    0,    NC[OUTRAS BOVESPA]) - NC[AJUSTE]</f>
        <v>-47.330000000000005</v>
      </c>
      <c r="X44" s="15">
        <f>IF(AND(NC['[D/N']]="D",    NC[T]="CV",    NC[LÍQUIDO BASE] &gt; 0),    TRUNC(NC[LÍQUIDO BASE]*0.01, 2),    0)</f>
        <v>0</v>
      </c>
      <c r="Y44" s="15">
        <f>IF(NC[PREÇO] &gt; 0,    NC[LÍQUIDO BASE]-SUMPRODUCT(N(NC[DATA]=NC[[#This Row],[DATA]]),    NC[IRRF FONTE]),    0)</f>
        <v>0</v>
      </c>
      <c r="Z44" s="20">
        <f>NC[LÍQUIDO]-SUMPRODUCT(N(NC[DATA]=NC[[#This Row],[DATA]]),N(NC[ID]=(NC[[#This Row],[ID]]-1)),NC[LÍQUIDO])</f>
        <v>0</v>
      </c>
      <c r="AA44" s="15">
        <f>IF(NC[T] = "VC", ABS(NC[VALOR OP]) / NC[QTDE], NC[VALOR OP]/NC[QTDE])</f>
        <v>0</v>
      </c>
      <c r="AB44" s="15">
        <f>TRUNC(IF(OR(NC[T]="CV",NC[T]="VV"),     N44*SETUP!$H$3,     0),2)</f>
        <v>0</v>
      </c>
      <c r="AC4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E4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4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-45.8</v>
      </c>
      <c r="AG44" s="15">
        <f>IF(NC[LUCRO TMP] &lt;&gt; 0, NC[LUCRO TMP] - SUMPRODUCT(N(NC[ATIVO]=NC[[#This Row],[ATIVO]]),N(NC['[D/N']]="N"),N(NC[ID]&lt;NC[[#This Row],[ID]]),N(NC[PAR]=NC[[#This Row],[PAR]]), NC[LUCRO TMP]), 0)</f>
        <v>-45.8</v>
      </c>
      <c r="AH44" s="15">
        <f>IF(NC[U] = "U", SUMPRODUCT(N(NC[ID]&lt;=NC[[#This Row],[ID]]),N(NC[DATA BASE]=NC[[#This Row],[DATA BASE]]), N(NC['[D/N']] = "N"),    NC[LUCRO P/ OP]), 0)</f>
        <v>0</v>
      </c>
      <c r="AI44" s="15">
        <f>IF(NC[U] = "U", SUMPRODUCT(N(NC[DATA BASE]=NC[[#This Row],[DATA BASE]]), N(NC['[D/N']] = "D"),    NC[LUCRO P/ OP]), 0)</f>
        <v>0</v>
      </c>
      <c r="AJ44" s="15">
        <f>IF(NC[U] = "U", SUMPRODUCT(N(NC[DATA BASE]=NC[[#This Row],[DATA BASE]]), N(NC['[D/N']] = "D"),    NC[IRRF FONTE]), 0)</f>
        <v>0</v>
      </c>
    </row>
    <row r="45" spans="1:36" x14ac:dyDescent="0.2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5" s="42">
        <f>NC[QTDE]*NC[PREÇO]</f>
        <v>0</v>
      </c>
      <c r="O45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5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5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5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5" s="42">
        <f>SETUP!$E$3 * IF(NC[PARCIAL] &gt; 0, NC[QTDE] / NC[PARCIAL], 1)</f>
        <v>14.9</v>
      </c>
      <c r="T45" s="42">
        <f>SUMPRODUCT(N(NC[DATA]=NC[[#This Row],[DATA]]),N(NC[ID]&lt;=NC[[#This Row],[ID]]), NC[CORR])</f>
        <v>59.6</v>
      </c>
      <c r="U45" s="42">
        <f>TRUNC(NC[CORRETAGEM]*SETUP!$F$3,2)</f>
        <v>1.19</v>
      </c>
      <c r="V45" s="42">
        <f>ROUND(NC[CORRETAGEM]*SETUP!$G$3,2)</f>
        <v>2.3199999999999998</v>
      </c>
      <c r="W45" s="42">
        <f>NC[VALOR LÍQUIDO DAS OPERAÇÕES]-NC[TAXA DE LIQUIDAÇÃO]-NC[EMOLUMENTOS]-NC[TAXA DE REGISTRO]-NC[CORRETAGEM]-NC[ISS]-IF(NC['[D/N']]="D",    0,    NC[OUTRAS BOVESPA]) - NC[AJUSTE]</f>
        <v>-63.11</v>
      </c>
      <c r="X45" s="42">
        <f>IF(AND(NC['[D/N']]="D",    NC[T]="CV",    NC[LÍQUIDO BASE] &gt; 0),    TRUNC(NC[LÍQUIDO BASE]*0.01, 2),    0)</f>
        <v>0</v>
      </c>
      <c r="Y45" s="15">
        <f>IF(NC[PREÇO] &gt; 0,    NC[LÍQUIDO BASE]-SUMPRODUCT(N(NC[DATA]=NC[[#This Row],[DATA]]),    NC[IRRF FONTE]),    0)</f>
        <v>0</v>
      </c>
      <c r="Z45" s="46">
        <f>NC[LÍQUIDO]-SUMPRODUCT(N(NC[DATA]=NC[[#This Row],[DATA]]),N(NC[ID]=(NC[[#This Row],[ID]]-1)),NC[LÍQUIDO])</f>
        <v>0</v>
      </c>
      <c r="AA45" s="42">
        <f>IF(NC[T] = "VC", ABS(NC[VALOR OP]) / NC[QTDE], NC[VALOR OP]/NC[QTDE])</f>
        <v>0</v>
      </c>
      <c r="AB45" s="42">
        <f>TRUNC(IF(OR(NC[T]="CV",NC[T]="VV"),     N45*SETUP!$H$3,     0),2)</f>
        <v>0</v>
      </c>
      <c r="AC45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5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E45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5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-466.37</v>
      </c>
      <c r="AG45" s="42">
        <f>IF(NC[LUCRO TMP] &lt;&gt; 0, NC[LUCRO TMP] - SUMPRODUCT(N(NC[ATIVO]=NC[[#This Row],[ATIVO]]),N(NC['[D/N']]="N"),N(NC[ID]&lt;NC[[#This Row],[ID]]),N(NC[PAR]=NC[[#This Row],[PAR]]), NC[LUCRO TMP]), 0)</f>
        <v>-466.37</v>
      </c>
      <c r="AH45" s="42">
        <f>IF(NC[U] = "U", SUMPRODUCT(N(NC[ID]&lt;=NC[[#This Row],[ID]]),N(NC[DATA BASE]=NC[[#This Row],[DATA BASE]]), N(NC['[D/N']] = "N"),    NC[LUCRO P/ OP]), 0)</f>
        <v>0</v>
      </c>
      <c r="AI45" s="42">
        <f>IF(NC[U] = "U", SUMPRODUCT(N(NC[DATA BASE]=NC[[#This Row],[DATA BASE]]), N(NC['[D/N']] = "D"),    NC[LUCRO P/ OP]), 0)</f>
        <v>0</v>
      </c>
      <c r="AJ45" s="15">
        <f>IF(NC[U] = "U", SUMPRODUCT(N(NC[DATA BASE]=NC[[#This Row],[DATA BASE]]), N(NC['[D/N']] = "D"),    NC[IRRF FONTE]), 0)</f>
        <v>0</v>
      </c>
    </row>
    <row r="46" spans="1:36" x14ac:dyDescent="0.2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6" s="42">
        <f>NC[QTDE]*NC[PREÇO]</f>
        <v>940</v>
      </c>
      <c r="O46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940</v>
      </c>
      <c r="P46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46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R46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0.65</v>
      </c>
      <c r="S46" s="42">
        <f>SETUP!$E$3 * IF(NC[PARCIAL] &gt; 0, NC[QTDE] / NC[PARCIAL], 1)</f>
        <v>14.9</v>
      </c>
      <c r="T46" s="42">
        <f>SUMPRODUCT(N(NC[DATA]=NC[[#This Row],[DATA]]),N(NC[ID]&lt;=NC[[#This Row],[ID]]), NC[CORR])</f>
        <v>14.9</v>
      </c>
      <c r="U46" s="42">
        <f>TRUNC(NC[CORRETAGEM]*SETUP!$F$3,2)</f>
        <v>0.28999999999999998</v>
      </c>
      <c r="V46" s="42">
        <f>ROUND(NC[CORRETAGEM]*SETUP!$G$3,2)</f>
        <v>0.57999999999999996</v>
      </c>
      <c r="W46" s="42">
        <f>NC[VALOR LÍQUIDO DAS OPERAÇÕES]-NC[TAXA DE LIQUIDAÇÃO]-NC[EMOLUMENTOS]-NC[TAXA DE REGISTRO]-NC[CORRETAGEM]-NC[ISS]-IF(NC['[D/N']]="D",    0,    NC[OUTRAS BOVESPA]) - NC[AJUSTE]</f>
        <v>922.99</v>
      </c>
      <c r="X46" s="42">
        <f>IF(AND(NC['[D/N']]="D",    NC[T]="CV",    NC[LÍQUIDO BASE] &gt; 0),    TRUNC(NC[LÍQUIDO BASE]*0.01, 2),    0)</f>
        <v>0</v>
      </c>
      <c r="Y46" s="15">
        <f>IF(NC[PREÇO] &gt; 0,    NC[LÍQUIDO BASE]-SUMPRODUCT(N(NC[DATA]=NC[[#This Row],[DATA]]),    NC[IRRF FONTE]),    0)</f>
        <v>922.99</v>
      </c>
      <c r="Z46" s="46">
        <f>NC[LÍQUIDO]-SUMPRODUCT(N(NC[DATA]=NC[[#This Row],[DATA]]),N(NC[ID]=(NC[[#This Row],[ID]]-1)),NC[LÍQUIDO])</f>
        <v>922.99</v>
      </c>
      <c r="AA46" s="42">
        <f>IF(NC[T] = "VC", ABS(NC[VALOR OP]) / NC[QTDE], NC[VALOR OP]/NC[QTDE])</f>
        <v>0.92298999999999998</v>
      </c>
      <c r="AB46" s="42">
        <f>TRUNC(IF(OR(NC[T]="CV",NC[T]="VV"),     N46*SETUP!$H$3,     0),2)</f>
        <v>0.04</v>
      </c>
      <c r="AC46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-1000</v>
      </c>
      <c r="AD46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46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F46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6" s="42">
        <f>IF(NC[LUCRO TMP] &lt;&gt; 0, NC[LUCRO TMP] - SUMPRODUCT(N(NC[ATIVO]=NC[[#This Row],[ATIVO]]),N(NC['[D/N']]="N"),N(NC[ID]&lt;NC[[#This Row],[ID]]),N(NC[PAR]=NC[[#This Row],[PAR]]), NC[LUCRO TMP]), 0)</f>
        <v>0</v>
      </c>
      <c r="AH46" s="42">
        <f>IF(NC[U] = "U", SUMPRODUCT(N(NC[ID]&lt;=NC[[#This Row],[ID]]),N(NC[DATA BASE]=NC[[#This Row],[DATA BASE]]), N(NC['[D/N']] = "N"),    NC[LUCRO P/ OP]), 0)</f>
        <v>0</v>
      </c>
      <c r="AI46" s="42">
        <f>IF(NC[U] = "U", SUMPRODUCT(N(NC[DATA BASE]=NC[[#This Row],[DATA BASE]]), N(NC['[D/N']] = "D"),    NC[LUCRO P/ OP]), 0)</f>
        <v>0</v>
      </c>
      <c r="AJ46" s="15">
        <f>IF(NC[U] = "U", SUMPRODUCT(N(NC[DATA BASE]=NC[[#This Row],[DATA BASE]]), N(NC['[D/N']] = "D"),    NC[IRRF FONTE]), 0)</f>
        <v>0</v>
      </c>
    </row>
    <row r="47" spans="1:36" x14ac:dyDescent="0.2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7" s="15">
        <f>NC[QTDE]*NC[PREÇO]</f>
        <v>450</v>
      </c>
      <c r="O4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490</v>
      </c>
      <c r="P4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0.38</v>
      </c>
      <c r="Q4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0.51</v>
      </c>
      <c r="R4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0.96</v>
      </c>
      <c r="S47" s="15">
        <f>SETUP!$E$3 * IF(NC[PARCIAL] &gt; 0, NC[QTDE] / NC[PARCIAL], 1)</f>
        <v>14.9</v>
      </c>
      <c r="T47" s="15">
        <f>SUMPRODUCT(N(NC[DATA]=NC[[#This Row],[DATA]]),N(NC[ID]&lt;=NC[[#This Row],[ID]]), NC[CORR])</f>
        <v>29.8</v>
      </c>
      <c r="U47" s="15">
        <f>TRUNC(NC[CORRETAGEM]*SETUP!$F$3,2)</f>
        <v>0.59</v>
      </c>
      <c r="V47" s="15">
        <f>ROUND(NC[CORRETAGEM]*SETUP!$G$3,2)</f>
        <v>1.1599999999999999</v>
      </c>
      <c r="W47" s="15">
        <f>NC[VALOR LÍQUIDO DAS OPERAÇÕES]-NC[TAXA DE LIQUIDAÇÃO]-NC[EMOLUMENTOS]-NC[TAXA DE REGISTRO]-NC[CORRETAGEM]-NC[ISS]-IF(NC['[D/N']]="D",    0,    NC[OUTRAS BOVESPA]) - NC[AJUSTE]</f>
        <v>456.6</v>
      </c>
      <c r="X47" s="15">
        <f>IF(AND(NC['[D/N']]="D",    NC[T]="CV",    NC[LÍQUIDO BASE] &gt; 0),    TRUNC(NC[LÍQUIDO BASE]*0.01, 2),    0)</f>
        <v>0</v>
      </c>
      <c r="Y47" s="15">
        <f>IF(NC[PREÇO] &gt; 0,    NC[LÍQUIDO BASE]-SUMPRODUCT(N(NC[DATA]=NC[[#This Row],[DATA]]),    NC[IRRF FONTE]),    0)</f>
        <v>456.6</v>
      </c>
      <c r="Z47" s="20">
        <f>NC[LÍQUIDO]-SUMPRODUCT(N(NC[DATA]=NC[[#This Row],[DATA]]),N(NC[ID]=(NC[[#This Row],[ID]]-1)),NC[LÍQUIDO])</f>
        <v>-466.39</v>
      </c>
      <c r="AA47" s="15">
        <f>IF(NC[T] = "VC", ABS(NC[VALOR OP]) / NC[QTDE], NC[VALOR OP]/NC[QTDE])</f>
        <v>-0.46638999999999997</v>
      </c>
      <c r="AB47" s="15">
        <f>TRUNC(IF(OR(NC[T]="CV",NC[T]="VV"),     N47*SETUP!$H$3,     0),2)</f>
        <v>0</v>
      </c>
      <c r="AC4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1000</v>
      </c>
      <c r="AD4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E4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7" s="15">
        <f>IF(NC[LUCRO TMP] &lt;&gt; 0, NC[LUCRO TMP] - SUMPRODUCT(N(NC[ATIVO]=NC[[#This Row],[ATIVO]]),N(NC['[D/N']]="N"),N(NC[ID]&lt;NC[[#This Row],[ID]]),N(NC[PAR]=NC[[#This Row],[PAR]]), NC[LUCRO TMP]), 0)</f>
        <v>0</v>
      </c>
      <c r="AH47" s="15">
        <f>IF(NC[U] = "U", SUMPRODUCT(N(NC[ID]&lt;=NC[[#This Row],[ID]]),N(NC[DATA BASE]=NC[[#This Row],[DATA BASE]]), N(NC['[D/N']] = "N"),    NC[LUCRO P/ OP]), 0)</f>
        <v>431.77000000000021</v>
      </c>
      <c r="AI47" s="15">
        <f>IF(NC[U] = "U", SUMPRODUCT(N(NC[DATA BASE]=NC[[#This Row],[DATA BASE]]), N(NC['[D/N']] = "D"),    NC[LUCRO P/ OP]), 0)</f>
        <v>0</v>
      </c>
      <c r="AJ47" s="15">
        <f>IF(NC[U] = "U", SUMPRODUCT(N(NC[DATA BASE]=NC[[#This Row],[DATA BASE]]), N(NC['[D/N']] = "D"),    NC[IRRF FONTE]), 0)</f>
        <v>0</v>
      </c>
    </row>
    <row r="48" spans="1:36" x14ac:dyDescent="0.2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8" s="42">
        <f>NC[QTDE]*NC[PREÇO]</f>
        <v>1248</v>
      </c>
      <c r="O48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-1248</v>
      </c>
      <c r="P48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48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0.46</v>
      </c>
      <c r="R48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0.86</v>
      </c>
      <c r="S48" s="42">
        <f>SETUP!$E$3 * IF(NC[PARCIAL] &gt; 0, NC[QTDE] / NC[PARCIAL], 1)</f>
        <v>14.9</v>
      </c>
      <c r="T48" s="42">
        <f>SUMPRODUCT(N(NC[DATA]=NC[[#This Row],[DATA]]),N(NC[ID]&lt;=NC[[#This Row],[ID]]), NC[CORR])</f>
        <v>14.9</v>
      </c>
      <c r="U48" s="42">
        <f>TRUNC(NC[CORRETAGEM]*SETUP!$F$3,2)</f>
        <v>0.28999999999999998</v>
      </c>
      <c r="V48" s="42">
        <f>ROUND(NC[CORRETAGEM]*SETUP!$G$3,2)</f>
        <v>0.57999999999999996</v>
      </c>
      <c r="W48" s="42">
        <f>NC[VALOR LÍQUIDO DAS OPERAÇÕES]-NC[TAXA DE LIQUIDAÇÃO]-NC[EMOLUMENTOS]-NC[TAXA DE REGISTRO]-NC[CORRETAGEM]-NC[ISS]-IF(NC['[D/N']]="D",    0,    NC[OUTRAS BOVESPA]) - NC[AJUSTE]</f>
        <v>-1265.4299999999998</v>
      </c>
      <c r="X48" s="42">
        <f>IF(AND(NC['[D/N']]="D",    NC[T]="CV",    NC[LÍQUIDO BASE] &gt; 0),    TRUNC(NC[LÍQUIDO BASE]*0.01, 2),    0)</f>
        <v>0</v>
      </c>
      <c r="Y48" s="15">
        <f>IF(NC[PREÇO] &gt; 0,    NC[LÍQUIDO BASE]-SUMPRODUCT(N(NC[DATA]=NC[[#This Row],[DATA]]),    NC[IRRF FONTE]),    0)</f>
        <v>-1265.4299999999998</v>
      </c>
      <c r="Z48" s="46">
        <f>NC[LÍQUIDO]-SUMPRODUCT(N(NC[DATA]=NC[[#This Row],[DATA]]),N(NC[ID]=(NC[[#This Row],[ID]]-1)),NC[LÍQUIDO])</f>
        <v>-1265.4299999999998</v>
      </c>
      <c r="AA48" s="42">
        <f>IF(NC[T] = "VC", ABS(NC[VALOR OP]) / NC[QTDE], NC[VALOR OP]/NC[QTDE])</f>
        <v>-0.79089374999999995</v>
      </c>
      <c r="AB48" s="42">
        <f>TRUNC(IF(OR(NC[T]="CV",NC[T]="VV"),     N48*SETUP!$H$3,     0),2)</f>
        <v>0</v>
      </c>
      <c r="AC48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1600</v>
      </c>
      <c r="AD48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0.79089374999999995</v>
      </c>
      <c r="AE48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8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8" s="42">
        <f>IF(NC[LUCRO TMP] &lt;&gt; 0, NC[LUCRO TMP] - SUMPRODUCT(N(NC[ATIVO]=NC[[#This Row],[ATIVO]]),N(NC['[D/N']]="N"),N(NC[ID]&lt;NC[[#This Row],[ID]]),N(NC[PAR]=NC[[#This Row],[PAR]]), NC[LUCRO TMP]), 0)</f>
        <v>0</v>
      </c>
      <c r="AH48" s="42">
        <f>IF(NC[U] = "U", SUMPRODUCT(N(NC[ID]&lt;=NC[[#This Row],[ID]]),N(NC[DATA BASE]=NC[[#This Row],[DATA BASE]]), N(NC['[D/N']] = "N"),    NC[LUCRO P/ OP]), 0)</f>
        <v>0</v>
      </c>
      <c r="AI48" s="42">
        <f>IF(NC[U] = "U", SUMPRODUCT(N(NC[DATA BASE]=NC[[#This Row],[DATA BASE]]), N(NC['[D/N']] = "D"),    NC[LUCRO P/ OP]), 0)</f>
        <v>0</v>
      </c>
      <c r="AJ48" s="15">
        <f>IF(NC[U] = "U", SUMPRODUCT(N(NC[DATA BASE]=NC[[#This Row],[DATA BASE]]), N(NC['[D/N']] = "D"),    NC[IRRF FONTE]), 0)</f>
        <v>0</v>
      </c>
    </row>
    <row r="49" spans="1:36" x14ac:dyDescent="0.2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9" s="15">
        <f>NC[QTDE]*NC[PREÇO]</f>
        <v>2</v>
      </c>
      <c r="O4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</v>
      </c>
      <c r="P4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9" s="15">
        <f>SETUP!$E$3 * IF(NC[PARCIAL] &gt; 0, NC[QTDE] / NC[PARCIAL], 1)</f>
        <v>14.9</v>
      </c>
      <c r="T49" s="15">
        <f>SUMPRODUCT(N(NC[DATA]=NC[[#This Row],[DATA]]),N(NC[ID]&lt;=NC[[#This Row],[ID]]), NC[CORR])</f>
        <v>14.9</v>
      </c>
      <c r="U49" s="15">
        <f>TRUNC(NC[CORRETAGEM]*SETUP!$F$3,2)</f>
        <v>0.28999999999999998</v>
      </c>
      <c r="V49" s="15">
        <f>ROUND(NC[CORRETAGEM]*SETUP!$G$3,2)</f>
        <v>0.57999999999999996</v>
      </c>
      <c r="W49" s="15">
        <f>NC[VALOR LÍQUIDO DAS OPERAÇÕES]-NC[TAXA DE LIQUIDAÇÃO]-NC[EMOLUMENTOS]-NC[TAXA DE REGISTRO]-NC[CORRETAGEM]-NC[ISS]-IF(NC['[D/N']]="D",    0,    NC[OUTRAS BOVESPA]) - NC[AJUSTE]</f>
        <v>-17.769999999999996</v>
      </c>
      <c r="X49" s="15">
        <f>IF(AND(NC['[D/N']]="D",    NC[T]="CV",    NC[LÍQUIDO BASE] &gt; 0),    TRUNC(NC[LÍQUIDO BASE]*0.01, 2),    0)</f>
        <v>0</v>
      </c>
      <c r="Y49" s="15">
        <f>IF(NC[PREÇO] &gt; 0,    NC[LÍQUIDO BASE]-SUMPRODUCT(N(NC[DATA]=NC[[#This Row],[DATA]]),    NC[IRRF FONTE]),    0)</f>
        <v>-17.769999999999996</v>
      </c>
      <c r="Z49" s="20">
        <f>NC[LÍQUIDO]-SUMPRODUCT(N(NC[DATA]=NC[[#This Row],[DATA]]),N(NC[ID]=(NC[[#This Row],[ID]]-1)),NC[LÍQUIDO])</f>
        <v>-17.769999999999996</v>
      </c>
      <c r="AA49" s="15">
        <f>IF(NC[T] = "VC", ABS(NC[VALOR OP]) / NC[QTDE], NC[VALOR OP]/NC[QTDE])</f>
        <v>8.8849999999999985E-2</v>
      </c>
      <c r="AB49" s="15">
        <f>TRUNC(IF(OR(NC[T]="CV",NC[T]="VV"),     N49*SETUP!$H$3,     0),2)</f>
        <v>0</v>
      </c>
      <c r="AC4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8.8849999999999985E-2</v>
      </c>
      <c r="AE4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F4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240.08000000000004</v>
      </c>
      <c r="AG49" s="15">
        <f>IF(NC[LUCRO TMP] &lt;&gt; 0, NC[LUCRO TMP] - SUMPRODUCT(N(NC[ATIVO]=NC[[#This Row],[ATIVO]]),N(NC['[D/N']]="N"),N(NC[ID]&lt;NC[[#This Row],[ID]]),N(NC[PAR]=NC[[#This Row],[PAR]]), NC[LUCRO TMP]), 0)</f>
        <v>240.08000000000004</v>
      </c>
      <c r="AH49" s="15">
        <f>IF(NC[U] = "U", SUMPRODUCT(N(NC[ID]&lt;=NC[[#This Row],[ID]]),N(NC[DATA BASE]=NC[[#This Row],[DATA BASE]]), N(NC['[D/N']] = "N"),    NC[LUCRO P/ OP]), 0)</f>
        <v>0</v>
      </c>
      <c r="AI49" s="15">
        <f>IF(NC[U] = "U", SUMPRODUCT(N(NC[DATA BASE]=NC[[#This Row],[DATA BASE]]), N(NC['[D/N']] = "D"),    NC[LUCRO P/ OP]), 0)</f>
        <v>0</v>
      </c>
      <c r="AJ49" s="15">
        <f>IF(NC[U] = "U", SUMPRODUCT(N(NC[DATA BASE]=NC[[#This Row],[DATA BASE]]), N(NC['[D/N']] = "D"),    NC[IRRF FONTE]), 0)</f>
        <v>0</v>
      </c>
    </row>
    <row r="50" spans="1:36" x14ac:dyDescent="0.2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0" s="15">
        <f>NC[QTDE]*NC[PREÇO]</f>
        <v>10</v>
      </c>
      <c r="O5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</v>
      </c>
      <c r="P5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0" s="15">
        <f>SETUP!$E$3 * IF(NC[PARCIAL] &gt; 0, NC[QTDE] / NC[PARCIAL], 1)</f>
        <v>14.9</v>
      </c>
      <c r="T50" s="15">
        <f>SUMPRODUCT(N(NC[DATA]=NC[[#This Row],[DATA]]),N(NC[ID]&lt;=NC[[#This Row],[ID]]), NC[CORR])</f>
        <v>14.9</v>
      </c>
      <c r="U50" s="15">
        <f>TRUNC(NC[CORRETAGEM]*SETUP!$F$3,2)</f>
        <v>0.28999999999999998</v>
      </c>
      <c r="V50" s="15">
        <f>ROUND(NC[CORRETAGEM]*SETUP!$G$3,2)</f>
        <v>0.57999999999999996</v>
      </c>
      <c r="W50" s="15">
        <f>NC[VALOR LÍQUIDO DAS OPERAÇÕES]-NC[TAXA DE LIQUIDAÇÃO]-NC[EMOLUMENTOS]-NC[TAXA DE REGISTRO]-NC[CORRETAGEM]-NC[ISS]-IF(NC['[D/N']]="D",    0,    NC[OUTRAS BOVESPA]) - NC[AJUSTE]</f>
        <v>-25.769999999999996</v>
      </c>
      <c r="X50" s="15">
        <f>IF(AND(NC['[D/N']]="D",    NC[T]="CV",    NC[LÍQUIDO BASE] &gt; 0),    TRUNC(NC[LÍQUIDO BASE]*0.01, 2),    0)</f>
        <v>0</v>
      </c>
      <c r="Y50" s="15">
        <f>IF(NC[PREÇO] &gt; 0,    NC[LÍQUIDO BASE]-SUMPRODUCT(N(NC[DATA]=NC[[#This Row],[DATA]]),    NC[IRRF FONTE]),    0)</f>
        <v>-25.769999999999996</v>
      </c>
      <c r="Z50" s="20">
        <f>NC[LÍQUIDO]-SUMPRODUCT(N(NC[DATA]=NC[[#This Row],[DATA]]),N(NC[ID]=(NC[[#This Row],[ID]]-1)),NC[LÍQUIDO])</f>
        <v>-25.769999999999996</v>
      </c>
      <c r="AA50" s="15">
        <f>IF(NC[T] = "VC", ABS(NC[VALOR OP]) / NC[QTDE], NC[VALOR OP]/NC[QTDE])</f>
        <v>2.5769999999999994E-2</v>
      </c>
      <c r="AB50" s="15">
        <f>TRUNC(IF(OR(NC[T]="CV",NC[T]="VV"),     N50*SETUP!$H$3,     0),2)</f>
        <v>0</v>
      </c>
      <c r="AC5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2.5769999999999994E-2</v>
      </c>
      <c r="AE5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F5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897.22</v>
      </c>
      <c r="AG50" s="15">
        <f>IF(NC[LUCRO TMP] &lt;&gt; 0, NC[LUCRO TMP] - SUMPRODUCT(N(NC[ATIVO]=NC[[#This Row],[ATIVO]]),N(NC['[D/N']]="N"),N(NC[ID]&lt;NC[[#This Row],[ID]]),N(NC[PAR]=NC[[#This Row],[PAR]]), NC[LUCRO TMP]), 0)</f>
        <v>897.22</v>
      </c>
      <c r="AH50" s="15">
        <f>IF(NC[U] = "U", SUMPRODUCT(N(NC[ID]&lt;=NC[[#This Row],[ID]]),N(NC[DATA BASE]=NC[[#This Row],[DATA BASE]]), N(NC['[D/N']] = "N"),    NC[LUCRO P/ OP]), 0)</f>
        <v>0</v>
      </c>
      <c r="AI50" s="15">
        <f>IF(NC[U] = "U", SUMPRODUCT(N(NC[DATA BASE]=NC[[#This Row],[DATA BASE]]), N(NC['[D/N']] = "D"),    NC[LUCRO P/ OP]), 0)</f>
        <v>0</v>
      </c>
      <c r="AJ50" s="15">
        <f>IF(NC[U] = "U", SUMPRODUCT(N(NC[DATA BASE]=NC[[#This Row],[DATA BASE]]), N(NC['[D/N']] = "D"),    NC[IRRF FONTE]), 0)</f>
        <v>0</v>
      </c>
    </row>
    <row r="51" spans="1:36" x14ac:dyDescent="0.2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1" s="42">
        <f>NC[QTDE]*NC[PREÇO]</f>
        <v>2064</v>
      </c>
      <c r="O51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2064</v>
      </c>
      <c r="P51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0.56000000000000005</v>
      </c>
      <c r="Q51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0.76</v>
      </c>
      <c r="R51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1.43</v>
      </c>
      <c r="S51" s="42">
        <f>SETUP!$E$3 * IF(NC[PARCIAL] &gt; 0, NC[QTDE] / NC[PARCIAL], 1)</f>
        <v>14.9</v>
      </c>
      <c r="T51" s="42">
        <f>SUMPRODUCT(N(NC[DATA]=NC[[#This Row],[DATA]]),N(NC[ID]&lt;=NC[[#This Row],[ID]]), NC[CORR])</f>
        <v>14.9</v>
      </c>
      <c r="U51" s="42">
        <f>TRUNC(NC[CORRETAGEM]*SETUP!$F$3,2)</f>
        <v>0.28999999999999998</v>
      </c>
      <c r="V51" s="42">
        <f>ROUND(NC[CORRETAGEM]*SETUP!$G$3,2)</f>
        <v>0.57999999999999996</v>
      </c>
      <c r="W51" s="42">
        <f>NC[VALOR LÍQUIDO DAS OPERAÇÕES]-NC[TAXA DE LIQUIDAÇÃO]-NC[EMOLUMENTOS]-NC[TAXA DE REGISTRO]-NC[CORRETAGEM]-NC[ISS]-IF(NC['[D/N']]="D",    0,    NC[OUTRAS BOVESPA]) - NC[AJUSTE]</f>
        <v>2045.48</v>
      </c>
      <c r="X51" s="42">
        <f>IF(AND(NC['[D/N']]="D",    NC[T]="CV",    NC[LÍQUIDO BASE] &gt; 0),    TRUNC(NC[LÍQUIDO BASE]*0.01, 2),    0)</f>
        <v>0</v>
      </c>
      <c r="Y51" s="15">
        <f>IF(NC[PREÇO] &gt; 0,    NC[LÍQUIDO BASE]-SUMPRODUCT(N(NC[DATA]=NC[[#This Row],[DATA]]),    NC[IRRF FONTE]),    0)</f>
        <v>2045.48</v>
      </c>
      <c r="Z51" s="46">
        <f>NC[LÍQUIDO]-SUMPRODUCT(N(NC[DATA]=NC[[#This Row],[DATA]]),N(NC[ID]=(NC[[#This Row],[ID]]-1)),NC[LÍQUIDO])</f>
        <v>2045.48</v>
      </c>
      <c r="AA51" s="42">
        <f>IF(NC[T] = "VC", ABS(NC[VALOR OP]) / NC[QTDE], NC[VALOR OP]/NC[QTDE])</f>
        <v>1.2784249999999999</v>
      </c>
      <c r="AB51" s="42">
        <f>TRUNC(IF(OR(NC[T]="CV",NC[T]="VV"),     N51*SETUP!$H$3,     0),2)</f>
        <v>0.1</v>
      </c>
      <c r="AC51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1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0.79089374999999995</v>
      </c>
      <c r="AE51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1.2784249999999999</v>
      </c>
      <c r="AF51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780.05</v>
      </c>
      <c r="AG51" s="42">
        <f>IF(NC[LUCRO TMP] &lt;&gt; 0, NC[LUCRO TMP] - SUMPRODUCT(N(NC[ATIVO]=NC[[#This Row],[ATIVO]]),N(NC['[D/N']]="N"),N(NC[ID]&lt;NC[[#This Row],[ID]]),N(NC[PAR]=NC[[#This Row],[PAR]]), NC[LUCRO TMP]), 0)</f>
        <v>780.05</v>
      </c>
      <c r="AH51" s="42">
        <f>IF(NC[U] = "U", SUMPRODUCT(N(NC[ID]&lt;=NC[[#This Row],[ID]]),N(NC[DATA BASE]=NC[[#This Row],[DATA BASE]]), N(NC['[D/N']] = "N"),    NC[LUCRO P/ OP]), 0)</f>
        <v>0</v>
      </c>
      <c r="AI51" s="42">
        <f>IF(NC[U] = "U", SUMPRODUCT(N(NC[DATA BASE]=NC[[#This Row],[DATA BASE]]), N(NC['[D/N']] = "D"),    NC[LUCRO P/ OP]), 0)</f>
        <v>0</v>
      </c>
      <c r="AJ51" s="15">
        <f>IF(NC[U] = "U", SUMPRODUCT(N(NC[DATA BASE]=NC[[#This Row],[DATA BASE]]), N(NC['[D/N']] = "D"),    NC[IRRF FONTE]), 0)</f>
        <v>0</v>
      </c>
    </row>
    <row r="52" spans="1:36" x14ac:dyDescent="0.2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2" s="67">
        <f>NC[QTDE]*NC[PREÇO]</f>
        <v>1551</v>
      </c>
      <c r="O52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3615</v>
      </c>
      <c r="P52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0.99</v>
      </c>
      <c r="Q52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1.33</v>
      </c>
      <c r="R52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2.5099999999999998</v>
      </c>
      <c r="S52" s="67">
        <f>SETUP!$E$3 * IF(NC[PARCIAL] &gt; 0, NC[QTDE] / NC[PARCIAL], 1)</f>
        <v>14.9</v>
      </c>
      <c r="T52" s="67">
        <f>SUMPRODUCT(N(NC[DATA]=NC[[#This Row],[DATA]]),N(NC[ID]&lt;=NC[[#This Row],[ID]]), NC[CORR])</f>
        <v>29.8</v>
      </c>
      <c r="U52" s="67">
        <f>TRUNC(NC[CORRETAGEM]*SETUP!$F$3,2)</f>
        <v>0.59</v>
      </c>
      <c r="V52" s="67">
        <f>ROUND(NC[CORRETAGEM]*SETUP!$G$3,2)</f>
        <v>1.1599999999999999</v>
      </c>
      <c r="W52" s="67">
        <f>NC[VALOR LÍQUIDO DAS OPERAÇÕES]-NC[TAXA DE LIQUIDAÇÃO]-NC[EMOLUMENTOS]-NC[TAXA DE REGISTRO]-NC[CORRETAGEM]-NC[ISS]-IF(NC['[D/N']]="D",    0,    NC[OUTRAS BOVESPA]) - NC[AJUSTE]</f>
        <v>3578.62</v>
      </c>
      <c r="X52" s="67">
        <f>IF(AND(NC['[D/N']]="D",    NC[T]="CV",    NC[LÍQUIDO BASE] &gt; 0),    TRUNC(NC[LÍQUIDO BASE]*0.01, 2),    0)</f>
        <v>0</v>
      </c>
      <c r="Y52" s="15">
        <f>IF(NC[PREÇO] &gt; 0,    NC[LÍQUIDO BASE]-SUMPRODUCT(N(NC[DATA]=NC[[#This Row],[DATA]]),    NC[IRRF FONTE]),    0)</f>
        <v>3578.62</v>
      </c>
      <c r="Z52" s="69">
        <f>NC[LÍQUIDO]-SUMPRODUCT(N(NC[DATA]=NC[[#This Row],[DATA]]),N(NC[ID]=(NC[[#This Row],[ID]]-1)),NC[LÍQUIDO])</f>
        <v>1533.1399999999999</v>
      </c>
      <c r="AA52" s="67">
        <f>IF(NC[T] = "VC", ABS(NC[VALOR OP]) / NC[QTDE], NC[VALOR OP]/NC[QTDE])</f>
        <v>1.3937636363636363</v>
      </c>
      <c r="AB52" s="67">
        <f>TRUNC(IF(OR(NC[T]="CV",NC[T]="VV"),     N52*SETUP!$H$3,     0),2)</f>
        <v>7.0000000000000007E-2</v>
      </c>
      <c r="AC52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-1100</v>
      </c>
      <c r="AD52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52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1.3937636363636363</v>
      </c>
      <c r="AF52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2" s="67">
        <f>IF(NC[LUCRO TMP] &lt;&gt; 0, NC[LUCRO TMP] - SUMPRODUCT(N(NC[ATIVO]=NC[[#This Row],[ATIVO]]),N(NC['[D/N']]="N"),N(NC[ID]&lt;NC[[#This Row],[ID]]),N(NC[PAR]=NC[[#This Row],[PAR]]), NC[LUCRO TMP]), 0)</f>
        <v>0</v>
      </c>
      <c r="AH52" s="67">
        <f>IF(NC[U] = "U", SUMPRODUCT(N(NC[ID]&lt;=NC[[#This Row],[ID]]),N(NC[DATA BASE]=NC[[#This Row],[DATA BASE]]), N(NC['[D/N']] = "N"),    NC[LUCRO P/ OP]), 0)</f>
        <v>0</v>
      </c>
      <c r="AI52" s="67">
        <f>IF(NC[U] = "U", SUMPRODUCT(N(NC[DATA BASE]=NC[[#This Row],[DATA BASE]]), N(NC['[D/N']] = "D"),    NC[LUCRO P/ OP]), 0)</f>
        <v>0</v>
      </c>
      <c r="AJ52" s="15">
        <f>IF(NC[U] = "U", SUMPRODUCT(N(NC[DATA BASE]=NC[[#This Row],[DATA BASE]]), N(NC['[D/N']] = "D"),    NC[IRRF FONTE]), 0)</f>
        <v>0</v>
      </c>
    </row>
    <row r="53" spans="1:36" x14ac:dyDescent="0.2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3" s="67">
        <f>NC[QTDE]*NC[PREÇO]</f>
        <v>968</v>
      </c>
      <c r="O53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2647</v>
      </c>
      <c r="P53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1.26</v>
      </c>
      <c r="Q53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1.69</v>
      </c>
      <c r="R53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3.18</v>
      </c>
      <c r="S53" s="67">
        <f>SETUP!$E$3 * IF(NC[PARCIAL] &gt; 0, NC[QTDE] / NC[PARCIAL], 1)</f>
        <v>14.9</v>
      </c>
      <c r="T53" s="67">
        <f>SUMPRODUCT(N(NC[DATA]=NC[[#This Row],[DATA]]),N(NC[ID]&lt;=NC[[#This Row],[ID]]), NC[CORR])</f>
        <v>44.7</v>
      </c>
      <c r="U53" s="67">
        <f>TRUNC(NC[CORRETAGEM]*SETUP!$F$3,2)</f>
        <v>0.89</v>
      </c>
      <c r="V53" s="67">
        <f>ROUND(NC[CORRETAGEM]*SETUP!$G$3,2)</f>
        <v>1.74</v>
      </c>
      <c r="W53" s="67">
        <f>NC[VALOR LÍQUIDO DAS OPERAÇÕES]-NC[TAXA DE LIQUIDAÇÃO]-NC[EMOLUMENTOS]-NC[TAXA DE REGISTRO]-NC[CORRETAGEM]-NC[ISS]-IF(NC['[D/N']]="D",    0,    NC[OUTRAS BOVESPA]) - NC[AJUSTE]</f>
        <v>2593.5400000000004</v>
      </c>
      <c r="X53" s="67">
        <f>IF(AND(NC['[D/N']]="D",    NC[T]="CV",    NC[LÍQUIDO BASE] &gt; 0),    TRUNC(NC[LÍQUIDO BASE]*0.01, 2),    0)</f>
        <v>0</v>
      </c>
      <c r="Y53" s="15">
        <f>IF(NC[PREÇO] &gt; 0,    NC[LÍQUIDO BASE]-SUMPRODUCT(N(NC[DATA]=NC[[#This Row],[DATA]]),    NC[IRRF FONTE]),    0)</f>
        <v>2593.5400000000004</v>
      </c>
      <c r="Z53" s="69">
        <f>NC[LÍQUIDO]-SUMPRODUCT(N(NC[DATA]=NC[[#This Row],[DATA]]),N(NC[ID]=(NC[[#This Row],[ID]]-1)),NC[LÍQUIDO])</f>
        <v>-985.07999999999947</v>
      </c>
      <c r="AA53" s="67">
        <f>IF(NC[T] = "VC", ABS(NC[VALOR OP]) / NC[QTDE], NC[VALOR OP]/NC[QTDE])</f>
        <v>-0.89552727272727228</v>
      </c>
      <c r="AB53" s="67">
        <f>TRUNC(IF(OR(NC[T]="CV",NC[T]="VV"),     N53*SETUP!$H$3,     0),2)</f>
        <v>0</v>
      </c>
      <c r="AC53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1100</v>
      </c>
      <c r="AD53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0.89552727272727228</v>
      </c>
      <c r="AE53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3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3" s="67">
        <f>IF(NC[LUCRO TMP] &lt;&gt; 0, NC[LUCRO TMP] - SUMPRODUCT(N(NC[ATIVO]=NC[[#This Row],[ATIVO]]),N(NC['[D/N']]="N"),N(NC[ID]&lt;NC[[#This Row],[ID]]),N(NC[PAR]=NC[[#This Row],[PAR]]), NC[LUCRO TMP]), 0)</f>
        <v>0</v>
      </c>
      <c r="AH53" s="67">
        <f>IF(NC[U] = "U", SUMPRODUCT(N(NC[ID]&lt;=NC[[#This Row],[ID]]),N(NC[DATA BASE]=NC[[#This Row],[DATA BASE]]), N(NC['[D/N']] = "N"),    NC[LUCRO P/ OP]), 0)</f>
        <v>0</v>
      </c>
      <c r="AI53" s="67">
        <f>IF(NC[U] = "U", SUMPRODUCT(N(NC[DATA BASE]=NC[[#This Row],[DATA BASE]]), N(NC['[D/N']] = "D"),    NC[LUCRO P/ OP]), 0)</f>
        <v>0</v>
      </c>
      <c r="AJ53" s="15">
        <f>IF(NC[U] = "U", SUMPRODUCT(N(NC[DATA BASE]=NC[[#This Row],[DATA BASE]]), N(NC['[D/N']] = "D"),    NC[IRRF FONTE]), 0)</f>
        <v>0</v>
      </c>
    </row>
    <row r="54" spans="1:36" x14ac:dyDescent="0.2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4" s="67">
        <f>NC[QTDE]*NC[PREÇO]</f>
        <v>945</v>
      </c>
      <c r="O54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-945</v>
      </c>
      <c r="P54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0.17</v>
      </c>
      <c r="Q54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R54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54" s="67">
        <f>SETUP!$E$3 * IF(NC[PARCIAL] &gt; 0, NC[QTDE] / NC[PARCIAL], 1)</f>
        <v>4.65625</v>
      </c>
      <c r="T54" s="67">
        <f>SUMPRODUCT(N(NC[DATA]=NC[[#This Row],[DATA]]),N(NC[ID]&lt;=NC[[#This Row],[ID]]), NC[CORR])</f>
        <v>4.65625</v>
      </c>
      <c r="U54" s="67">
        <f>TRUNC(NC[CORRETAGEM]*SETUP!$F$3,2)</f>
        <v>0.09</v>
      </c>
      <c r="V54" s="67">
        <f>ROUND(NC[CORRETAGEM]*SETUP!$G$3,2)</f>
        <v>0.18</v>
      </c>
      <c r="W54" s="67">
        <f>NC[VALOR LÍQUIDO DAS OPERAÇÕES]-NC[TAXA DE LIQUIDAÇÃO]-NC[EMOLUMENTOS]-NC[TAXA DE REGISTRO]-NC[CORRETAGEM]-NC[ISS]-IF(NC['[D/N']]="D",    0,    NC[OUTRAS BOVESPA]) - NC[AJUSTE]</f>
        <v>-950.16624999999999</v>
      </c>
      <c r="X54" s="67">
        <f>IF(AND(NC['[D/N']]="D",    NC[T]="CV",    NC[LÍQUIDO BASE] &gt; 0),    TRUNC(NC[LÍQUIDO BASE]*0.01, 2),    0)</f>
        <v>0</v>
      </c>
      <c r="Y54" s="15">
        <f>IF(NC[PREÇO] &gt; 0,    NC[LÍQUIDO BASE]-SUMPRODUCT(N(NC[DATA]=NC[[#This Row],[DATA]]),    NC[IRRF FONTE]),    0)</f>
        <v>-950.74625000000003</v>
      </c>
      <c r="Z54" s="69">
        <f>NC[LÍQUIDO]-SUMPRODUCT(N(NC[DATA]=NC[[#This Row],[DATA]]),N(NC[ID]=(NC[[#This Row],[ID]]-1)),NC[LÍQUIDO])</f>
        <v>-950.74625000000003</v>
      </c>
      <c r="AA54" s="67">
        <f>IF(NC[T] = "VC", ABS(NC[VALOR OP]) / NC[QTDE], NC[VALOR OP]/NC[QTDE])</f>
        <v>-1.9014925</v>
      </c>
      <c r="AB54" s="67">
        <f>TRUNC(IF(OR(NC[T]="CV",NC[T]="VV"),     N54*SETUP!$H$3,     0),2)</f>
        <v>0</v>
      </c>
      <c r="AC54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4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1.9014925</v>
      </c>
      <c r="AE54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4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4" s="67">
        <f>IF(NC[LUCRO TMP] &lt;&gt; 0, NC[LUCRO TMP] - SUMPRODUCT(N(NC[ATIVO]=NC[[#This Row],[ATIVO]]),N(NC['[D/N']]="N"),N(NC[ID]&lt;NC[[#This Row],[ID]]),N(NC[PAR]=NC[[#This Row],[PAR]]), NC[LUCRO TMP]), 0)</f>
        <v>0</v>
      </c>
      <c r="AH54" s="67">
        <f>IF(NC[U] = "U", SUMPRODUCT(N(NC[ID]&lt;=NC[[#This Row],[ID]]),N(NC[DATA BASE]=NC[[#This Row],[DATA BASE]]), N(NC['[D/N']] = "N"),    NC[LUCRO P/ OP]), 0)</f>
        <v>0</v>
      </c>
      <c r="AI54" s="67">
        <f>IF(NC[U] = "U", SUMPRODUCT(N(NC[DATA BASE]=NC[[#This Row],[DATA BASE]]), N(NC['[D/N']] = "D"),    NC[LUCRO P/ OP]), 0)</f>
        <v>0</v>
      </c>
      <c r="AJ54" s="15">
        <f>IF(NC[U] = "U", SUMPRODUCT(N(NC[DATA BASE]=NC[[#This Row],[DATA BASE]]), N(NC['[D/N']] = "D"),    NC[IRRF FONTE]), 0)</f>
        <v>0</v>
      </c>
    </row>
    <row r="55" spans="1:36" x14ac:dyDescent="0.2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5" s="15">
        <f>NC[QTDE]*NC[PREÇO]</f>
        <v>1025</v>
      </c>
      <c r="O5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</v>
      </c>
      <c r="P5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0.35</v>
      </c>
      <c r="Q5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0.23</v>
      </c>
      <c r="R5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S55" s="15">
        <f>SETUP!$E$3 * IF(NC[PARCIAL] &gt; 0, NC[QTDE] / NC[PARCIAL], 1)</f>
        <v>14.9</v>
      </c>
      <c r="T55" s="15">
        <f>SUMPRODUCT(N(NC[DATA]=NC[[#This Row],[DATA]]),N(NC[ID]&lt;=NC[[#This Row],[ID]]), NC[CORR])</f>
        <v>19.556249999999999</v>
      </c>
      <c r="U55" s="15">
        <f>TRUNC(NC[CORRETAGEM]*SETUP!$F$3,2)</f>
        <v>0.39</v>
      </c>
      <c r="V55" s="15">
        <f>ROUND(NC[CORRETAGEM]*SETUP!$G$3,2)</f>
        <v>0.76</v>
      </c>
      <c r="W55" s="15">
        <f>NC[VALOR LÍQUIDO DAS OPERAÇÕES]-NC[TAXA DE LIQUIDAÇÃO]-NC[EMOLUMENTOS]-NC[TAXA DE REGISTRO]-NC[CORRETAGEM]-NC[ISS]-IF(NC['[D/N']]="D",    0,    NC[OUTRAS BOVESPA]) - NC[AJUSTE]</f>
        <v>58.623749999999994</v>
      </c>
      <c r="X55" s="15">
        <f>IF(AND(NC['[D/N']]="D",    NC[T]="CV",    NC[LÍQUIDO BASE] &gt; 0),    TRUNC(NC[LÍQUIDO BASE]*0.01, 2),    0)</f>
        <v>0.57999999999999996</v>
      </c>
      <c r="Y55" s="15">
        <f>IF(NC[PREÇO] &gt; 0,    NC[LÍQUIDO BASE]-SUMPRODUCT(N(NC[DATA]=NC[[#This Row],[DATA]]),    NC[IRRF FONTE]),    0)</f>
        <v>58.043749999999996</v>
      </c>
      <c r="Z55" s="20">
        <f>NC[LÍQUIDO]-SUMPRODUCT(N(NC[DATA]=NC[[#This Row],[DATA]]),N(NC[ID]=(NC[[#This Row],[ID]]-1)),NC[LÍQUIDO])</f>
        <v>1008.7900000000001</v>
      </c>
      <c r="AA55" s="15">
        <f>IF(NC[T] = "VC", ABS(NC[VALOR OP]) / NC[QTDE], NC[VALOR OP]/NC[QTDE])</f>
        <v>2.0175800000000002</v>
      </c>
      <c r="AB55" s="15">
        <f>TRUNC(IF(OR(NC[T]="CV",NC[T]="VV"),     N55*SETUP!$H$3,     0),2)</f>
        <v>0.05</v>
      </c>
      <c r="AC5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1.9014925</v>
      </c>
      <c r="AE5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2.0175800000000002</v>
      </c>
      <c r="AF55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58.623750000000058</v>
      </c>
      <c r="AG55" s="15">
        <f>IF(NC[LUCRO TMP] &lt;&gt; 0, NC[LUCRO TMP] - SUMPRODUCT(N(NC[ATIVO]=NC[[#This Row],[ATIVO]]),N(NC['[D/N']]="N"),N(NC[ID]&lt;NC[[#This Row],[ID]]),N(NC[PAR]=NC[[#This Row],[PAR]]), NC[LUCRO TMP]), 0)</f>
        <v>58.623750000000058</v>
      </c>
      <c r="AH55" s="15">
        <f>IF(NC[U] = "U", SUMPRODUCT(N(NC[ID]&lt;=NC[[#This Row],[ID]]),N(NC[DATA BASE]=NC[[#This Row],[DATA BASE]]), N(NC['[D/N']] = "N"),    NC[LUCRO P/ OP]), 0)</f>
        <v>0</v>
      </c>
      <c r="AI55" s="15">
        <f>IF(NC[U] = "U", SUMPRODUCT(N(NC[DATA BASE]=NC[[#This Row],[DATA BASE]]), N(NC['[D/N']] = "D"),    NC[LUCRO P/ OP]), 0)</f>
        <v>0</v>
      </c>
      <c r="AJ55" s="15">
        <f>IF(NC[U] = "U", SUMPRODUCT(N(NC[DATA BASE]=NC[[#This Row],[DATA BASE]]), N(NC['[D/N']] = "D"),    NC[IRRF FONTE]), 0)</f>
        <v>0</v>
      </c>
    </row>
    <row r="56" spans="1:36" x14ac:dyDescent="0.2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6" s="67">
        <f>NC[QTDE]*NC[PREÇO]</f>
        <v>2079</v>
      </c>
      <c r="O56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-1999</v>
      </c>
      <c r="P56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0.92</v>
      </c>
      <c r="Q56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</v>
      </c>
      <c r="R56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1.74</v>
      </c>
      <c r="S56" s="67">
        <f>SETUP!$E$3 * IF(NC[PARCIAL] &gt; 0, NC[QTDE] / NC[PARCIAL], 1)</f>
        <v>10.24375</v>
      </c>
      <c r="T56" s="67">
        <f>SUMPRODUCT(N(NC[DATA]=NC[[#This Row],[DATA]]),N(NC[ID]&lt;=NC[[#This Row],[ID]]), NC[CORR])</f>
        <v>29.799999999999997</v>
      </c>
      <c r="U56" s="67">
        <f>TRUNC(NC[CORRETAGEM]*SETUP!$F$3,2)</f>
        <v>0.59</v>
      </c>
      <c r="V56" s="67">
        <f>ROUND(NC[CORRETAGEM]*SETUP!$G$3,2)</f>
        <v>1.1599999999999999</v>
      </c>
      <c r="W56" s="67">
        <f>NC[VALOR LÍQUIDO DAS OPERAÇÕES]-NC[TAXA DE LIQUIDAÇÃO]-NC[EMOLUMENTOS]-NC[TAXA DE REGISTRO]-NC[CORRETAGEM]-NC[ISS]-IF(NC['[D/N']]="D",    0,    NC[OUTRAS BOVESPA]) - NC[AJUSTE]</f>
        <v>-2034.21</v>
      </c>
      <c r="X56" s="67">
        <f>IF(AND(NC['[D/N']]="D",    NC[T]="CV",    NC[LÍQUIDO BASE] &gt; 0),    TRUNC(NC[LÍQUIDO BASE]*0.01, 2),    0)</f>
        <v>0</v>
      </c>
      <c r="Y56" s="15">
        <f>IF(NC[PREÇO] &gt; 0,    NC[LÍQUIDO BASE]-SUMPRODUCT(N(NC[DATA]=NC[[#This Row],[DATA]]),    NC[IRRF FONTE]),    0)</f>
        <v>-2034.79</v>
      </c>
      <c r="Z56" s="69">
        <f>NC[LÍQUIDO]-SUMPRODUCT(N(NC[DATA]=NC[[#This Row],[DATA]]),N(NC[ID]=(NC[[#This Row],[ID]]-1)),NC[LÍQUIDO])</f>
        <v>-2092.8337499999998</v>
      </c>
      <c r="AA56" s="67">
        <f>IF(NC[T] = "VC", ABS(NC[VALOR OP]) / NC[QTDE], NC[VALOR OP]/NC[QTDE])</f>
        <v>1.9025761363636362</v>
      </c>
      <c r="AB56" s="67">
        <f>TRUNC(IF(OR(NC[T]="CV",NC[T]="VV"),     N56*SETUP!$H$3,     0),2)</f>
        <v>0</v>
      </c>
      <c r="AC56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6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1.9025761363636362</v>
      </c>
      <c r="AE56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1.3937636363636363</v>
      </c>
      <c r="AF56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-559.69374999999991</v>
      </c>
      <c r="AG56" s="67">
        <f>IF(NC[LUCRO TMP] &lt;&gt; 0, NC[LUCRO TMP] - SUMPRODUCT(N(NC[ATIVO]=NC[[#This Row],[ATIVO]]),N(NC['[D/N']]="N"),N(NC[ID]&lt;NC[[#This Row],[ID]]),N(NC[PAR]=NC[[#This Row],[PAR]]), NC[LUCRO TMP]), 0)</f>
        <v>-559.69374999999991</v>
      </c>
      <c r="AH56" s="67">
        <f>IF(NC[U] = "U", SUMPRODUCT(N(NC[ID]&lt;=NC[[#This Row],[ID]]),N(NC[DATA BASE]=NC[[#This Row],[DATA BASE]]), N(NC['[D/N']] = "N"),    NC[LUCRO P/ OP]), 0)</f>
        <v>0</v>
      </c>
      <c r="AI56" s="67">
        <f>IF(NC[U] = "U", SUMPRODUCT(N(NC[DATA BASE]=NC[[#This Row],[DATA BASE]]), N(NC['[D/N']] = "D"),    NC[LUCRO P/ OP]), 0)</f>
        <v>0</v>
      </c>
      <c r="AJ56" s="15">
        <f>IF(NC[U] = "U", SUMPRODUCT(N(NC[DATA BASE]=NC[[#This Row],[DATA BASE]]), N(NC['[D/N']] = "D"),    NC[IRRF FONTE]), 0)</f>
        <v>0</v>
      </c>
    </row>
    <row r="57" spans="1:36" x14ac:dyDescent="0.2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7" s="15">
        <f>NC[QTDE]*NC[PREÇO]</f>
        <v>1595</v>
      </c>
      <c r="O5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-404</v>
      </c>
      <c r="P5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1.36</v>
      </c>
      <c r="Q5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1.59</v>
      </c>
      <c r="R5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2.84</v>
      </c>
      <c r="S57" s="15">
        <f>SETUP!$E$3 * IF(NC[PARCIAL] &gt; 0, NC[QTDE] / NC[PARCIAL], 1)</f>
        <v>14.9</v>
      </c>
      <c r="T57" s="15">
        <f>SUMPRODUCT(N(NC[DATA]=NC[[#This Row],[DATA]]),N(NC[ID]&lt;=NC[[#This Row],[ID]]), NC[CORR])</f>
        <v>44.699999999999996</v>
      </c>
      <c r="U57" s="15">
        <f>TRUNC(NC[CORRETAGEM]*SETUP!$F$3,2)</f>
        <v>0.89</v>
      </c>
      <c r="V57" s="15">
        <f>ROUND(NC[CORRETAGEM]*SETUP!$G$3,2)</f>
        <v>1.74</v>
      </c>
      <c r="W57" s="15">
        <f>NC[VALOR LÍQUIDO DAS OPERAÇÕES]-NC[TAXA DE LIQUIDAÇÃO]-NC[EMOLUMENTOS]-NC[TAXA DE REGISTRO]-NC[CORRETAGEM]-NC[ISS]-IF(NC['[D/N']]="D",    0,    NC[OUTRAS BOVESPA]) - NC[AJUSTE]</f>
        <v>-457.11999999999995</v>
      </c>
      <c r="X57" s="15">
        <f>IF(AND(NC['[D/N']]="D",    NC[T]="CV",    NC[LÍQUIDO BASE] &gt; 0),    TRUNC(NC[LÍQUIDO BASE]*0.01, 2),    0)</f>
        <v>0</v>
      </c>
      <c r="Y57" s="15">
        <f>IF(NC[PREÇO] &gt; 0,    NC[LÍQUIDO BASE]-SUMPRODUCT(N(NC[DATA]=NC[[#This Row],[DATA]]),    NC[IRRF FONTE]),    0)</f>
        <v>-457.69999999999993</v>
      </c>
      <c r="Z57" s="20">
        <f>NC[LÍQUIDO]-SUMPRODUCT(N(NC[DATA]=NC[[#This Row],[DATA]]),N(NC[ID]=(NC[[#This Row],[ID]]-1)),NC[LÍQUIDO])</f>
        <v>1577.0900000000001</v>
      </c>
      <c r="AA57" s="15">
        <f>IF(NC[T] = "VC", ABS(NC[VALOR OP]) / NC[QTDE], NC[VALOR OP]/NC[QTDE])</f>
        <v>1.4337181818181819</v>
      </c>
      <c r="AB57" s="15">
        <f>TRUNC(IF(OR(NC[T]="CV",NC[T]="VV"),     N57*SETUP!$H$3,     0),2)</f>
        <v>7.0000000000000007E-2</v>
      </c>
      <c r="AC5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0.89552727272727228</v>
      </c>
      <c r="AE5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1.4337181818181819</v>
      </c>
      <c r="AF5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592.01000000000056</v>
      </c>
      <c r="AG57" s="15">
        <f>IF(NC[LUCRO TMP] &lt;&gt; 0, NC[LUCRO TMP] - SUMPRODUCT(N(NC[ATIVO]=NC[[#This Row],[ATIVO]]),N(NC['[D/N']]="N"),N(NC[ID]&lt;NC[[#This Row],[ID]]),N(NC[PAR]=NC[[#This Row],[PAR]]), NC[LUCRO TMP]), 0)</f>
        <v>592.01000000000056</v>
      </c>
      <c r="AH57" s="15">
        <f>IF(NC[U] = "U", SUMPRODUCT(N(NC[ID]&lt;=NC[[#This Row],[ID]]),N(NC[DATA BASE]=NC[[#This Row],[DATA BASE]]), N(NC['[D/N']] = "N"),    NC[LUCRO P/ OP]), 0)</f>
        <v>0</v>
      </c>
      <c r="AI57" s="15">
        <f>IF(NC[U] = "U", SUMPRODUCT(N(NC[DATA BASE]=NC[[#This Row],[DATA BASE]]), N(NC['[D/N']] = "D"),    NC[LUCRO P/ OP]), 0)</f>
        <v>0</v>
      </c>
      <c r="AJ57" s="15">
        <f>IF(NC[U] = "U", SUMPRODUCT(N(NC[DATA BASE]=NC[[#This Row],[DATA BASE]]), N(NC['[D/N']] = "D"),    NC[IRRF FONTE]), 0)</f>
        <v>0</v>
      </c>
    </row>
    <row r="58" spans="1:36" x14ac:dyDescent="0.2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8" s="15">
        <f>NC[QTDE]*NC[PREÇO]</f>
        <v>0</v>
      </c>
      <c r="O5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5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8" s="15">
        <f>SETUP!$E$3 * IF(NC[PARCIAL] &gt; 0, NC[QTDE] / NC[PARCIAL], 1)</f>
        <v>14.9</v>
      </c>
      <c r="T58" s="15">
        <f>SUMPRODUCT(N(NC[DATA]=NC[[#This Row],[DATA]]),N(NC[ID]&lt;=NC[[#This Row],[ID]]), NC[CORR])</f>
        <v>14.9</v>
      </c>
      <c r="U58" s="15">
        <f>TRUNC(NC[CORRETAGEM]*SETUP!$F$3,2)</f>
        <v>0.28999999999999998</v>
      </c>
      <c r="V58" s="15">
        <f>ROUND(NC[CORRETAGEM]*SETUP!$G$3,2)</f>
        <v>0.57999999999999996</v>
      </c>
      <c r="W58" s="15">
        <f>NC[VALOR LÍQUIDO DAS OPERAÇÕES]-NC[TAXA DE LIQUIDAÇÃO]-NC[EMOLUMENTOS]-NC[TAXA DE REGISTRO]-NC[CORRETAGEM]-NC[ISS]-IF(NC['[D/N']]="D",    0,    NC[OUTRAS BOVESPA]) - NC[AJUSTE]</f>
        <v>-15.77</v>
      </c>
      <c r="X58" s="15">
        <f>IF(AND(NC['[D/N']]="D",    NC[T]="CV",    NC[LÍQUIDO BASE] &gt; 0),    TRUNC(NC[LÍQUIDO BASE]*0.01, 2),    0)</f>
        <v>0</v>
      </c>
      <c r="Y58" s="15">
        <f>IF(NC[PREÇO] &gt; 0,    NC[LÍQUIDO BASE]-SUMPRODUCT(N(NC[DATA]=NC[[#This Row],[DATA]]),    NC[IRRF FONTE]),    0)</f>
        <v>0</v>
      </c>
      <c r="Z58" s="20">
        <f>NC[LÍQUIDO]-SUMPRODUCT(N(NC[DATA]=NC[[#This Row],[DATA]]),N(NC[ID]=(NC[[#This Row],[ID]]-1)),NC[LÍQUIDO])</f>
        <v>0</v>
      </c>
      <c r="AA58" s="15">
        <f>IF(NC[T] = "VC", ABS(NC[VALOR OP]) / NC[QTDE], NC[VALOR OP]/NC[QTDE])</f>
        <v>0</v>
      </c>
      <c r="AB58" s="15">
        <f>TRUNC(IF(OR(NC[T]="CV",NC[T]="VV"),     N58*SETUP!$H$3,     0),2)</f>
        <v>0</v>
      </c>
      <c r="AC5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E5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8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-466.39</v>
      </c>
      <c r="AG58" s="15">
        <f>IF(NC[LUCRO TMP] &lt;&gt; 0, NC[LUCRO TMP] - SUMPRODUCT(N(NC[ATIVO]=NC[[#This Row],[ATIVO]]),N(NC['[D/N']]="N"),N(NC[ID]&lt;NC[[#This Row],[ID]]),N(NC[PAR]=NC[[#This Row],[PAR]]), NC[LUCRO TMP]), 0)</f>
        <v>-466.39</v>
      </c>
      <c r="AH58" s="15">
        <f>IF(NC[U] = "U", SUMPRODUCT(N(NC[ID]&lt;=NC[[#This Row],[ID]]),N(NC[DATA BASE]=NC[[#This Row],[DATA BASE]]), N(NC['[D/N']] = "N"),    NC[LUCRO P/ OP]), 0)</f>
        <v>0</v>
      </c>
      <c r="AI58" s="15">
        <f>IF(NC[U] = "U", SUMPRODUCT(N(NC[DATA BASE]=NC[[#This Row],[DATA BASE]]), N(NC['[D/N']] = "D"),    NC[LUCRO P/ OP]), 0)</f>
        <v>0</v>
      </c>
      <c r="AJ58" s="15">
        <f>IF(NC[U] = "U", SUMPRODUCT(N(NC[DATA BASE]=NC[[#This Row],[DATA BASE]]), N(NC['[D/N']] = "D"),    NC[IRRF FONTE]), 0)</f>
        <v>0</v>
      </c>
    </row>
    <row r="59" spans="1:36" x14ac:dyDescent="0.2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9" s="15">
        <f>NC[QTDE]*NC[PREÇO]</f>
        <v>0</v>
      </c>
      <c r="O5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5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9" s="15">
        <f>SETUP!$E$3 * IF(NC[PARCIAL] &gt; 0, NC[QTDE] / NC[PARCIAL], 1)</f>
        <v>14.9</v>
      </c>
      <c r="T59" s="15">
        <f>SUMPRODUCT(N(NC[DATA]=NC[[#This Row],[DATA]]),N(NC[ID]&lt;=NC[[#This Row],[ID]]), NC[CORR])</f>
        <v>29.8</v>
      </c>
      <c r="U59" s="15">
        <f>TRUNC(NC[CORRETAGEM]*SETUP!$F$3,2)</f>
        <v>0.59</v>
      </c>
      <c r="V59" s="15">
        <f>ROUND(NC[CORRETAGEM]*SETUP!$G$3,2)</f>
        <v>1.1599999999999999</v>
      </c>
      <c r="W59" s="15">
        <f>NC[VALOR LÍQUIDO DAS OPERAÇÕES]-NC[TAXA DE LIQUIDAÇÃO]-NC[EMOLUMENTOS]-NC[TAXA DE REGISTRO]-NC[CORRETAGEM]-NC[ISS]-IF(NC['[D/N']]="D",    0,    NC[OUTRAS BOVESPA]) - NC[AJUSTE]</f>
        <v>-31.55</v>
      </c>
      <c r="X59" s="15">
        <f>IF(AND(NC['[D/N']]="D",    NC[T]="CV",    NC[LÍQUIDO BASE] &gt; 0),    TRUNC(NC[LÍQUIDO BASE]*0.01, 2),    0)</f>
        <v>0</v>
      </c>
      <c r="Y59" s="15">
        <f>IF(NC[PREÇO] &gt; 0,    NC[LÍQUIDO BASE]-SUMPRODUCT(N(NC[DATA]=NC[[#This Row],[DATA]]),    NC[IRRF FONTE]),    0)</f>
        <v>0</v>
      </c>
      <c r="Z59" s="20">
        <f>NC[LÍQUIDO]-SUMPRODUCT(N(NC[DATA]=NC[[#This Row],[DATA]]),N(NC[ID]=(NC[[#This Row],[ID]]-1)),NC[LÍQUIDO])</f>
        <v>0</v>
      </c>
      <c r="AA59" s="15">
        <f>IF(NC[T] = "VC", ABS(NC[VALOR OP]) / NC[QTDE], NC[VALOR OP]/NC[QTDE])</f>
        <v>0</v>
      </c>
      <c r="AB59" s="15">
        <f>TRUNC(IF(OR(NC[T]="CV",NC[T]="VV"),     N59*SETUP!$H$3,     0),2)</f>
        <v>0</v>
      </c>
      <c r="AC5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E5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-153.94000000000003</v>
      </c>
      <c r="AG59" s="15">
        <f>IF(NC[LUCRO TMP] &lt;&gt; 0, NC[LUCRO TMP] - SUMPRODUCT(N(NC[ATIVO]=NC[[#This Row],[ATIVO]]),N(NC['[D/N']]="N"),N(NC[ID]&lt;NC[[#This Row],[ID]]),N(NC[PAR]=NC[[#This Row],[PAR]]), NC[LUCRO TMP]), 0)</f>
        <v>-153.94000000000003</v>
      </c>
      <c r="AH59" s="15">
        <f>IF(NC[U] = "U", SUMPRODUCT(N(NC[ID]&lt;=NC[[#This Row],[ID]]),N(NC[DATA BASE]=NC[[#This Row],[DATA BASE]]), N(NC['[D/N']] = "N"),    NC[LUCRO P/ OP]), 0)</f>
        <v>0</v>
      </c>
      <c r="AI59" s="15">
        <f>IF(NC[U] = "U", SUMPRODUCT(N(NC[DATA BASE]=NC[[#This Row],[DATA BASE]]), N(NC['[D/N']] = "D"),    NC[LUCRO P/ OP]), 0)</f>
        <v>0</v>
      </c>
      <c r="AJ59" s="15">
        <f>IF(NC[U] = "U", SUMPRODUCT(N(NC[DATA BASE]=NC[[#This Row],[DATA BASE]]), N(NC['[D/N']] = "D"),    NC[IRRF FONTE]), 0)</f>
        <v>0</v>
      </c>
    </row>
    <row r="60" spans="1:36" x14ac:dyDescent="0.2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0" s="15">
        <f>NC[QTDE]*NC[PREÇO]</f>
        <v>2304</v>
      </c>
      <c r="O6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2304</v>
      </c>
      <c r="P6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0.63</v>
      </c>
      <c r="Q6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0.85</v>
      </c>
      <c r="R6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1.6</v>
      </c>
      <c r="S60" s="15">
        <f>SETUP!$E$3 * IF(NC[PARCIAL] &gt; 0, NC[QTDE] / NC[PARCIAL], 1)</f>
        <v>14.9</v>
      </c>
      <c r="T60" s="15">
        <f>SUMPRODUCT(N(NC[DATA]=NC[[#This Row],[DATA]]),N(NC[ID]&lt;=NC[[#This Row],[ID]]), NC[CORR])</f>
        <v>14.9</v>
      </c>
      <c r="U60" s="15">
        <f>TRUNC(NC[CORRETAGEM]*SETUP!$F$3,2)</f>
        <v>0.28999999999999998</v>
      </c>
      <c r="V60" s="15">
        <f>ROUND(NC[CORRETAGEM]*SETUP!$G$3,2)</f>
        <v>0.57999999999999996</v>
      </c>
      <c r="W60" s="15">
        <f>NC[VALOR LÍQUIDO DAS OPERAÇÕES]-NC[TAXA DE LIQUIDAÇÃO]-NC[EMOLUMENTOS]-NC[TAXA DE REGISTRO]-NC[CORRETAGEM]-NC[ISS]-IF(NC['[D/N']]="D",    0,    NC[OUTRAS BOVESPA]) - NC[AJUSTE]</f>
        <v>2285.15</v>
      </c>
      <c r="X60" s="15">
        <f>IF(AND(NC['[D/N']]="D",    NC[T]="CV",    NC[LÍQUIDO BASE] &gt; 0),    TRUNC(NC[LÍQUIDO BASE]*0.01, 2),    0)</f>
        <v>0</v>
      </c>
      <c r="Y60" s="15">
        <f>IF(NC[PREÇO] &gt; 0,    NC[LÍQUIDO BASE]-SUMPRODUCT(N(NC[DATA]=NC[[#This Row],[DATA]]),    NC[IRRF FONTE]),    0)</f>
        <v>2285.15</v>
      </c>
      <c r="Z60" s="20">
        <f>NC[LÍQUIDO]-SUMPRODUCT(N(NC[DATA]=NC[[#This Row],[DATA]]),N(NC[ID]=(NC[[#This Row],[ID]]-1)),NC[LÍQUIDO])</f>
        <v>2285.15</v>
      </c>
      <c r="AA60" s="15">
        <f>IF(NC[T] = "VC", ABS(NC[VALOR OP]) / NC[QTDE], NC[VALOR OP]/NC[QTDE])</f>
        <v>1.4282187500000001</v>
      </c>
      <c r="AB60" s="15">
        <f>TRUNC(IF(OR(NC[T]="CV",NC[T]="VV"),     N60*SETUP!$H$3,     0),2)</f>
        <v>0.11</v>
      </c>
      <c r="AC6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-1600</v>
      </c>
      <c r="AD6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6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1.4282187500000001</v>
      </c>
      <c r="AF6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0" s="15">
        <f>IF(NC[LUCRO TMP] &lt;&gt; 0, NC[LUCRO TMP] - SUMPRODUCT(N(NC[ATIVO]=NC[[#This Row],[ATIVO]]),N(NC['[D/N']]="N"),N(NC[ID]&lt;NC[[#This Row],[ID]]),N(NC[PAR]=NC[[#This Row],[PAR]]), NC[LUCRO TMP]), 0)</f>
        <v>0</v>
      </c>
      <c r="AH60" s="15">
        <f>IF(NC[U] = "U", SUMPRODUCT(N(NC[ID]&lt;=NC[[#This Row],[ID]]),N(NC[DATA BASE]=NC[[#This Row],[DATA BASE]]), N(NC['[D/N']] = "N"),    NC[LUCRO P/ OP]), 0)</f>
        <v>0</v>
      </c>
      <c r="AI60" s="15">
        <f>IF(NC[U] = "U", SUMPRODUCT(N(NC[DATA BASE]=NC[[#This Row],[DATA BASE]]), N(NC['[D/N']] = "D"),    NC[LUCRO P/ OP]), 0)</f>
        <v>0</v>
      </c>
      <c r="AJ60" s="15">
        <f>IF(NC[U] = "U", SUMPRODUCT(N(NC[DATA BASE]=NC[[#This Row],[DATA BASE]]), N(NC['[D/N']] = "D"),    NC[IRRF FONTE]), 0)</f>
        <v>0</v>
      </c>
    </row>
    <row r="61" spans="1:36" x14ac:dyDescent="0.2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1" s="15">
        <f>NC[QTDE]*NC[PREÇO]</f>
        <v>1408</v>
      </c>
      <c r="O6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896</v>
      </c>
      <c r="P6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1.02</v>
      </c>
      <c r="Q6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1.37</v>
      </c>
      <c r="R6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2.57</v>
      </c>
      <c r="S61" s="15">
        <f>SETUP!$E$3 * IF(NC[PARCIAL] &gt; 0, NC[QTDE] / NC[PARCIAL], 1)</f>
        <v>14.9</v>
      </c>
      <c r="T61" s="15">
        <f>SUMPRODUCT(N(NC[DATA]=NC[[#This Row],[DATA]]),N(NC[ID]&lt;=NC[[#This Row],[ID]]), NC[CORR])</f>
        <v>29.8</v>
      </c>
      <c r="U61" s="15">
        <f>TRUNC(NC[CORRETAGEM]*SETUP!$F$3,2)</f>
        <v>0.59</v>
      </c>
      <c r="V61" s="15">
        <f>ROUND(NC[CORRETAGEM]*SETUP!$G$3,2)</f>
        <v>1.1599999999999999</v>
      </c>
      <c r="W61" s="15">
        <f>NC[VALOR LÍQUIDO DAS OPERAÇÕES]-NC[TAXA DE LIQUIDAÇÃO]-NC[EMOLUMENTOS]-NC[TAXA DE REGISTRO]-NC[CORRETAGEM]-NC[ISS]-IF(NC['[D/N']]="D",    0,    NC[OUTRAS BOVESPA]) - NC[AJUSTE]</f>
        <v>859.49</v>
      </c>
      <c r="X61" s="15">
        <f>IF(AND(NC['[D/N']]="D",    NC[T]="CV",    NC[LÍQUIDO BASE] &gt; 0),    TRUNC(NC[LÍQUIDO BASE]*0.01, 2),    0)</f>
        <v>0</v>
      </c>
      <c r="Y61" s="15">
        <f>IF(NC[PREÇO] &gt; 0,    NC[LÍQUIDO BASE]-SUMPRODUCT(N(NC[DATA]=NC[[#This Row],[DATA]]),    NC[IRRF FONTE]),    0)</f>
        <v>859.49</v>
      </c>
      <c r="Z61" s="20">
        <f>NC[LÍQUIDO]-SUMPRODUCT(N(NC[DATA]=NC[[#This Row],[DATA]]),N(NC[ID]=(NC[[#This Row],[ID]]-1)),NC[LÍQUIDO])</f>
        <v>-1425.66</v>
      </c>
      <c r="AA61" s="15">
        <f>IF(NC[T] = "VC", ABS(NC[VALOR OP]) / NC[QTDE], NC[VALOR OP]/NC[QTDE])</f>
        <v>-0.89103750000000004</v>
      </c>
      <c r="AB61" s="15">
        <f>TRUNC(IF(OR(NC[T]="CV",NC[T]="VV"),     N61*SETUP!$H$3,     0),2)</f>
        <v>0</v>
      </c>
      <c r="AC6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1600</v>
      </c>
      <c r="AD6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0.89103750000000004</v>
      </c>
      <c r="AE6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1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1" s="15">
        <f>IF(NC[LUCRO TMP] &lt;&gt; 0, NC[LUCRO TMP] - SUMPRODUCT(N(NC[ATIVO]=NC[[#This Row],[ATIVO]]),N(NC['[D/N']]="N"),N(NC[ID]&lt;NC[[#This Row],[ID]]),N(NC[PAR]=NC[[#This Row],[PAR]]), NC[LUCRO TMP]), 0)</f>
        <v>0</v>
      </c>
      <c r="AH61" s="15">
        <f>IF(NC[U] = "U", SUMPRODUCT(N(NC[ID]&lt;=NC[[#This Row],[ID]]),N(NC[DATA BASE]=NC[[#This Row],[DATA BASE]]), N(NC['[D/N']] = "N"),    NC[LUCRO P/ OP]), 0)</f>
        <v>1329.3362500000007</v>
      </c>
      <c r="AI61" s="15">
        <f>IF(NC[U] = "U", SUMPRODUCT(N(NC[DATA BASE]=NC[[#This Row],[DATA BASE]]), N(NC['[D/N']] = "D"),    NC[LUCRO P/ OP]), 0)</f>
        <v>58.623750000000058</v>
      </c>
      <c r="AJ61" s="15">
        <f>IF(NC[U] = "U", SUMPRODUCT(N(NC[DATA BASE]=NC[[#This Row],[DATA BASE]]), N(NC['[D/N']] = "D"),    NC[IRRF FONTE]), 0)</f>
        <v>0.57999999999999996</v>
      </c>
    </row>
    <row r="62" spans="1:36" x14ac:dyDescent="0.2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2" s="15">
        <f>NC[QTDE]*NC[PREÇO]</f>
        <v>3615.9999999999995</v>
      </c>
      <c r="O6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-3615.9999999999995</v>
      </c>
      <c r="P6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0.99</v>
      </c>
      <c r="Q6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1.33</v>
      </c>
      <c r="R6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2.5099999999999998</v>
      </c>
      <c r="S62" s="15">
        <f>SETUP!$E$3 * IF(NC[PARCIAL] &gt; 0, NC[QTDE] / NC[PARCIAL], 1)</f>
        <v>14.9</v>
      </c>
      <c r="T62" s="15">
        <f>SUMPRODUCT(N(NC[DATA]=NC[[#This Row],[DATA]]),N(NC[ID]&lt;=NC[[#This Row],[ID]]), NC[CORR])</f>
        <v>14.9</v>
      </c>
      <c r="U62" s="15">
        <f>TRUNC(NC[CORRETAGEM]*SETUP!$F$3,2)</f>
        <v>0.28999999999999998</v>
      </c>
      <c r="V62" s="15">
        <f>ROUND(NC[CORRETAGEM]*SETUP!$G$3,2)</f>
        <v>0.57999999999999996</v>
      </c>
      <c r="W62" s="15">
        <f>NC[VALOR LÍQUIDO DAS OPERAÇÕES]-NC[TAXA DE LIQUIDAÇÃO]-NC[EMOLUMENTOS]-NC[TAXA DE REGISTRO]-NC[CORRETAGEM]-NC[ISS]-IF(NC['[D/N']]="D",    0,    NC[OUTRAS BOVESPA]) - NC[AJUSTE]</f>
        <v>-3636.5999999999995</v>
      </c>
      <c r="X62" s="15">
        <f>IF(AND(NC['[D/N']]="D",    NC[T]="CV",    NC[LÍQUIDO BASE] &gt; 0),    TRUNC(NC[LÍQUIDO BASE]*0.01, 2),    0)</f>
        <v>0</v>
      </c>
      <c r="Y62" s="15">
        <f>IF(NC[PREÇO] &gt; 0,    NC[LÍQUIDO BASE]-SUMPRODUCT(N(NC[DATA]=NC[[#This Row],[DATA]]),    NC[IRRF FONTE]),    0)</f>
        <v>-3636.5999999999995</v>
      </c>
      <c r="Z62" s="20">
        <f>NC[LÍQUIDO]-SUMPRODUCT(N(NC[DATA]=NC[[#This Row],[DATA]]),N(NC[ID]=(NC[[#This Row],[ID]]-1)),NC[LÍQUIDO])</f>
        <v>-3636.5999999999995</v>
      </c>
      <c r="AA62" s="15">
        <f>IF(NC[T] = "VC", ABS(NC[VALOR OP]) / NC[QTDE], NC[VALOR OP]/NC[QTDE])</f>
        <v>2.2728749999999995</v>
      </c>
      <c r="AB62" s="15">
        <f>TRUNC(IF(OR(NC[T]="CV",NC[T]="VV"),     N62*SETUP!$H$3,     0),2)</f>
        <v>0</v>
      </c>
      <c r="AC6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2.2728749999999995</v>
      </c>
      <c r="AE6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1.4282187500000001</v>
      </c>
      <c r="AF62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-1351.4499999999991</v>
      </c>
      <c r="AG62" s="15">
        <f>IF(NC[LUCRO TMP] &lt;&gt; 0, NC[LUCRO TMP] - SUMPRODUCT(N(NC[ATIVO]=NC[[#This Row],[ATIVO]]),N(NC['[D/N']]="N"),N(NC[ID]&lt;NC[[#This Row],[ID]]),N(NC[PAR]=NC[[#This Row],[PAR]]), NC[LUCRO TMP]), 0)</f>
        <v>-1351.4499999999991</v>
      </c>
      <c r="AH62" s="15">
        <f>IF(NC[U] = "U", SUMPRODUCT(N(NC[ID]&lt;=NC[[#This Row],[ID]]),N(NC[DATA BASE]=NC[[#This Row],[DATA BASE]]), N(NC['[D/N']] = "N"),    NC[LUCRO P/ OP]), 0)</f>
        <v>0</v>
      </c>
      <c r="AI62" s="15">
        <f>IF(NC[U] = "U", SUMPRODUCT(N(NC[DATA BASE]=NC[[#This Row],[DATA BASE]]), N(NC['[D/N']] = "D"),    NC[LUCRO P/ OP]), 0)</f>
        <v>0</v>
      </c>
      <c r="AJ62" s="15">
        <f>IF(NC[U] = "U", SUMPRODUCT(N(NC[DATA BASE]=NC[[#This Row],[DATA BASE]]), N(NC['[D/N']] = "D"),    NC[IRRF FONTE]), 0)</f>
        <v>0</v>
      </c>
    </row>
    <row r="63" spans="1:36" x14ac:dyDescent="0.2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3" s="15">
        <f>NC[QTDE]*NC[PREÇO]</f>
        <v>3200</v>
      </c>
      <c r="O6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3200</v>
      </c>
      <c r="P6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0.88</v>
      </c>
      <c r="Q6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1.18</v>
      </c>
      <c r="R6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2.2200000000000002</v>
      </c>
      <c r="S63" s="15">
        <f>SETUP!$E$3 * IF(NC[PARCIAL] &gt; 0, NC[QTDE] / NC[PARCIAL], 1)</f>
        <v>14.9</v>
      </c>
      <c r="T63" s="15">
        <f>SUMPRODUCT(N(NC[DATA]=NC[[#This Row],[DATA]]),N(NC[ID]&lt;=NC[[#This Row],[ID]]), NC[CORR])</f>
        <v>14.9</v>
      </c>
      <c r="U63" s="15">
        <f>TRUNC(NC[CORRETAGEM]*SETUP!$F$3,2)</f>
        <v>0.28999999999999998</v>
      </c>
      <c r="V63" s="15">
        <f>ROUND(NC[CORRETAGEM]*SETUP!$G$3,2)</f>
        <v>0.57999999999999996</v>
      </c>
      <c r="W63" s="15">
        <f>NC[VALOR LÍQUIDO DAS OPERAÇÕES]-NC[TAXA DE LIQUIDAÇÃO]-NC[EMOLUMENTOS]-NC[TAXA DE REGISTRO]-NC[CORRETAGEM]-NC[ISS]-IF(NC['[D/N']]="D",    0,    NC[OUTRAS BOVESPA]) - NC[AJUSTE]</f>
        <v>3179.9500000000003</v>
      </c>
      <c r="X63" s="15">
        <f>IF(AND(NC['[D/N']]="D",    NC[T]="CV",    NC[LÍQUIDO BASE] &gt; 0),    TRUNC(NC[LÍQUIDO BASE]*0.01, 2),    0)</f>
        <v>0</v>
      </c>
      <c r="Y63" s="15">
        <f>IF(NC[PREÇO] &gt; 0,    NC[LÍQUIDO BASE]-SUMPRODUCT(N(NC[DATA]=NC[[#This Row],[DATA]]),    NC[IRRF FONTE]),    0)</f>
        <v>3179.9500000000003</v>
      </c>
      <c r="Z63" s="20">
        <f>NC[LÍQUIDO]-SUMPRODUCT(N(NC[DATA]=NC[[#This Row],[DATA]]),N(NC[ID]=(NC[[#This Row],[ID]]-1)),NC[LÍQUIDO])</f>
        <v>3179.9500000000003</v>
      </c>
      <c r="AA63" s="15">
        <f>IF(NC[T] = "VC", ABS(NC[VALOR OP]) / NC[QTDE], NC[VALOR OP]/NC[QTDE])</f>
        <v>1.9874687500000001</v>
      </c>
      <c r="AB63" s="15">
        <f>TRUNC(IF(OR(NC[T]="CV",NC[T]="VV"),     N63*SETUP!$H$3,     0),2)</f>
        <v>0.16</v>
      </c>
      <c r="AC6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0.89103750000000004</v>
      </c>
      <c r="AE6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1.9874687500000001</v>
      </c>
      <c r="AF6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1754.2900000000004</v>
      </c>
      <c r="AG63" s="15">
        <f>IF(NC[LUCRO TMP] &lt;&gt; 0, NC[LUCRO TMP] - SUMPRODUCT(N(NC[ATIVO]=NC[[#This Row],[ATIVO]]),N(NC['[D/N']]="N"),N(NC[ID]&lt;NC[[#This Row],[ID]]),N(NC[PAR]=NC[[#This Row],[PAR]]), NC[LUCRO TMP]), 0)</f>
        <v>1754.2900000000004</v>
      </c>
      <c r="AH63" s="15">
        <f>IF(NC[U] = "U", SUMPRODUCT(N(NC[ID]&lt;=NC[[#This Row],[ID]]),N(NC[DATA BASE]=NC[[#This Row],[DATA BASE]]), N(NC['[D/N']] = "N"),    NC[LUCRO P/ OP]), 0)</f>
        <v>0</v>
      </c>
      <c r="AI63" s="15">
        <f>IF(NC[U] = "U", SUMPRODUCT(N(NC[DATA BASE]=NC[[#This Row],[DATA BASE]]), N(NC['[D/N']] = "D"),    NC[LUCRO P/ OP]), 0)</f>
        <v>0</v>
      </c>
      <c r="AJ63" s="15">
        <f>IF(NC[U] = "U", SUMPRODUCT(N(NC[DATA BASE]=NC[[#This Row],[DATA BASE]]), N(NC['[D/N']] = "D"),    NC[IRRF FONTE]), 0)</f>
        <v>0</v>
      </c>
    </row>
    <row r="64" spans="1:36" x14ac:dyDescent="0.2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4" s="87">
        <f>NC[QTDE]*NC[PREÇO]</f>
        <v>1820</v>
      </c>
      <c r="O6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-1820</v>
      </c>
      <c r="P6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0.5</v>
      </c>
      <c r="Q6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0.67</v>
      </c>
      <c r="R6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1.26</v>
      </c>
      <c r="S64" s="87">
        <f>SETUP!$E$3 * IF(NC[PARCIAL] &gt; 0, NC[QTDE] / NC[PARCIAL], 1)</f>
        <v>14.9</v>
      </c>
      <c r="T64" s="87">
        <f>SUMPRODUCT(N(NC[DATA]=NC[[#This Row],[DATA]]),N(NC[ID]&lt;=NC[[#This Row],[ID]]), NC[CORR])</f>
        <v>14.9</v>
      </c>
      <c r="U64" s="87">
        <f>TRUNC(NC[CORRETAGEM]*SETUP!$F$3,2)</f>
        <v>0.28999999999999998</v>
      </c>
      <c r="V64" s="87">
        <f>ROUND(NC[CORRETAGEM]*SETUP!$G$3,2)</f>
        <v>0.57999999999999996</v>
      </c>
      <c r="W64" s="87">
        <f>NC[VALOR LÍQUIDO DAS OPERAÇÕES]-NC[TAXA DE LIQUIDAÇÃO]-NC[EMOLUMENTOS]-NC[TAXA DE REGISTRO]-NC[CORRETAGEM]-NC[ISS]-IF(NC['[D/N']]="D",    0,    NC[OUTRAS BOVESPA]) - NC[AJUSTE]</f>
        <v>-1838.2</v>
      </c>
      <c r="X64" s="87">
        <f>IF(AND(NC['[D/N']]="D",    NC[T]="CV",    NC[LÍQUIDO BASE] &gt; 0),    TRUNC(NC[LÍQUIDO BASE]*0.01, 2),    0)</f>
        <v>0</v>
      </c>
      <c r="Y64" s="15">
        <f>IF(NC[PREÇO] &gt; 0,    NC[LÍQUIDO BASE]-SUMPRODUCT(N(NC[DATA]=NC[[#This Row],[DATA]]),    NC[IRRF FONTE]),    0)</f>
        <v>-1838.2</v>
      </c>
      <c r="Z64" s="89">
        <f>NC[LÍQUIDO]-SUMPRODUCT(N(NC[DATA]=NC[[#This Row],[DATA]]),N(NC[ID]=(NC[[#This Row],[ID]]-1)),NC[LÍQUIDO])</f>
        <v>-1838.2</v>
      </c>
      <c r="AA64" s="87">
        <f>IF(NC[T] = "VC", ABS(NC[VALOR OP]) / NC[QTDE], NC[VALOR OP]/NC[QTDE])</f>
        <v>-0.5252</v>
      </c>
      <c r="AB64" s="87">
        <f>TRUNC(IF(OR(NC[T]="CV",NC[T]="VV"),     N64*SETUP!$H$3,     0),2)</f>
        <v>0</v>
      </c>
      <c r="AC6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3500</v>
      </c>
      <c r="AD6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0.5252</v>
      </c>
      <c r="AE6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4" s="87">
        <f>IF(NC[LUCRO TMP] &lt;&gt; 0, NC[LUCRO TMP] - SUMPRODUCT(N(NC[ATIVO]=NC[[#This Row],[ATIVO]]),N(NC['[D/N']]="N"),N(NC[ID]&lt;NC[[#This Row],[ID]]),N(NC[PAR]=NC[[#This Row],[PAR]]), NC[LUCRO TMP]), 0)</f>
        <v>0</v>
      </c>
      <c r="AH64" s="87">
        <f>IF(NC[U] = "U", SUMPRODUCT(N(NC[ID]&lt;=NC[[#This Row],[ID]]),N(NC[DATA BASE]=NC[[#This Row],[DATA BASE]]), N(NC['[D/N']] = "N"),    NC[LUCRO P/ OP]), 0)</f>
        <v>0</v>
      </c>
      <c r="AI64" s="87">
        <f>IF(NC[U] = "U", SUMPRODUCT(N(NC[DATA BASE]=NC[[#This Row],[DATA BASE]]), N(NC['[D/N']] = "D"),    NC[LUCRO P/ OP]), 0)</f>
        <v>0</v>
      </c>
      <c r="AJ64" s="87">
        <f>IF(NC[U] = "U", SUMPRODUCT(N(NC[DATA BASE]=NC[[#This Row],[DATA BASE]]), N(NC['[D/N']] = "D"),    NC[IRRF FONTE]), 0)</f>
        <v>0</v>
      </c>
    </row>
    <row r="65" spans="1:36" x14ac:dyDescent="0.2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65" s="15">
        <f>NC[QTDE]*NC[PREÇO]</f>
        <v>246</v>
      </c>
      <c r="O6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-246</v>
      </c>
      <c r="P6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6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6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65" s="15">
        <f>SETUP!$E$3 * IF(NC[PARCIAL] &gt; 0, NC[QTDE] / NC[PARCIAL], 1)</f>
        <v>14.9</v>
      </c>
      <c r="T65" s="15">
        <f>SUMPRODUCT(N(NC[DATA]=NC[[#This Row],[DATA]]),N(NC[ID]&lt;=NC[[#This Row],[ID]]), NC[CORR])</f>
        <v>14.9</v>
      </c>
      <c r="U65" s="15">
        <f>TRUNC(NC[CORRETAGEM]*SETUP!$F$3,2)</f>
        <v>0.28999999999999998</v>
      </c>
      <c r="V65" s="15">
        <f>ROUND(NC[CORRETAGEM]*SETUP!$G$3,2)</f>
        <v>0.57999999999999996</v>
      </c>
      <c r="W65" s="15">
        <f>NC[VALOR LÍQUIDO DAS OPERAÇÕES]-NC[TAXA DE LIQUIDAÇÃO]-NC[EMOLUMENTOS]-NC[TAXA DE REGISTRO]-NC[CORRETAGEM]-NC[ISS]-IF(NC['[D/N']]="D",    0,    NC[OUTRAS BOVESPA]) - NC[AJUSTE]</f>
        <v>-261.28000000000003</v>
      </c>
      <c r="X65" s="15">
        <f>IF(AND(NC['[D/N']]="D",    NC[T]="CV",    NC[LÍQUIDO BASE] &gt; 0),    TRUNC(NC[LÍQUIDO BASE]*0.01, 2),    0)</f>
        <v>0</v>
      </c>
      <c r="Y65" s="15">
        <f>IF(NC[PREÇO] &gt; 0,    NC[LÍQUIDO BASE]-SUMPRODUCT(N(NC[DATA]=NC[[#This Row],[DATA]]),    NC[IRRF FONTE]),    0)</f>
        <v>-261.28000000000003</v>
      </c>
      <c r="Z65" s="20">
        <f>NC[LÍQUIDO]-SUMPRODUCT(N(NC[DATA]=NC[[#This Row],[DATA]]),N(NC[ID]=(NC[[#This Row],[ID]]-1)),NC[LÍQUIDO])</f>
        <v>-261.28000000000003</v>
      </c>
      <c r="AA65" s="15">
        <f>IF(NC[T] = "VC", ABS(NC[VALOR OP]) / NC[QTDE], NC[VALOR OP]/NC[QTDE])</f>
        <v>-2.1242276422764231E-2</v>
      </c>
      <c r="AB65" s="15">
        <f>TRUNC(IF(OR(NC[T]="CV",NC[T]="VV"),     N65*SETUP!$H$3,     0),2)</f>
        <v>0</v>
      </c>
      <c r="AC6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2.1242276422764231E-2</v>
      </c>
      <c r="AE6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5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5" s="15">
        <f>IF(NC[LUCRO TMP] &lt;&gt; 0, NC[LUCRO TMP] - SUMPRODUCT(N(NC[ATIVO]=NC[[#This Row],[ATIVO]]),N(NC['[D/N']]="N"),N(NC[ID]&lt;NC[[#This Row],[ID]]),N(NC[PAR]=NC[[#This Row],[PAR]]), NC[LUCRO TMP]), 0)</f>
        <v>0</v>
      </c>
      <c r="AH65" s="15">
        <f>IF(NC[U] = "U", SUMPRODUCT(N(NC[ID]&lt;=NC[[#This Row],[ID]]),N(NC[DATA BASE]=NC[[#This Row],[DATA BASE]]), N(NC['[D/N']] = "N"),    NC[LUCRO P/ OP]), 0)</f>
        <v>0</v>
      </c>
      <c r="AI65" s="15">
        <f>IF(NC[U] = "U", SUMPRODUCT(N(NC[DATA BASE]=NC[[#This Row],[DATA BASE]]), N(NC['[D/N']] = "D"),    NC[LUCRO P/ OP]), 0)</f>
        <v>0</v>
      </c>
      <c r="AJ65" s="15">
        <f>IF(NC[U] = "U", SUMPRODUCT(N(NC[DATA BASE]=NC[[#This Row],[DATA BASE]]), N(NC['[D/N']] = "D"),    NC[IRRF FONTE]), 0)</f>
        <v>0</v>
      </c>
    </row>
    <row r="66" spans="1:36" x14ac:dyDescent="0.2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66" s="15">
        <f>NC[QTDE]*NC[PREÇO]</f>
        <v>246</v>
      </c>
      <c r="O6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6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0.08</v>
      </c>
      <c r="Q6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6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S66" s="15">
        <f>SETUP!$E$3 * IF(NC[PARCIAL] &gt; 0, NC[QTDE] / NC[PARCIAL], 1)</f>
        <v>14.9</v>
      </c>
      <c r="T66" s="15">
        <f>SUMPRODUCT(N(NC[DATA]=NC[[#This Row],[DATA]]),N(NC[ID]&lt;=NC[[#This Row],[ID]]), NC[CORR])</f>
        <v>29.8</v>
      </c>
      <c r="U66" s="15">
        <f>TRUNC(NC[CORRETAGEM]*SETUP!$F$3,2)</f>
        <v>0.59</v>
      </c>
      <c r="V66" s="15">
        <f>ROUND(NC[CORRETAGEM]*SETUP!$G$3,2)</f>
        <v>1.1599999999999999</v>
      </c>
      <c r="W66" s="15">
        <f>NC[VALOR LÍQUIDO DAS OPERAÇÕES]-NC[TAXA DE LIQUIDAÇÃO]-NC[EMOLUMENTOS]-NC[TAXA DE REGISTRO]-NC[CORRETAGEM]-NC[ISS]-IF(NC['[D/N']]="D",    0,    NC[OUTRAS BOVESPA]) - NC[AJUSTE]</f>
        <v>-30.59</v>
      </c>
      <c r="X66" s="15">
        <f>IF(AND(NC['[D/N']]="D",    NC[T]="CV",    NC[LÍQUIDO BASE] &gt; 0),    TRUNC(NC[LÍQUIDO BASE]*0.01, 2),    0)</f>
        <v>0</v>
      </c>
      <c r="Y66" s="15">
        <f>IF(NC[PREÇO] &gt; 0,    NC[LÍQUIDO BASE]-SUMPRODUCT(N(NC[DATA]=NC[[#This Row],[DATA]]),    NC[IRRF FONTE]),    0)</f>
        <v>-30.59</v>
      </c>
      <c r="Z66" s="20">
        <f>NC[LÍQUIDO]-SUMPRODUCT(N(NC[DATA]=NC[[#This Row],[DATA]]),N(NC[ID]=(NC[[#This Row],[ID]]-1)),NC[LÍQUIDO])</f>
        <v>230.69000000000003</v>
      </c>
      <c r="AA66" s="15">
        <f>IF(NC[T] = "VC", ABS(NC[VALOR OP]) / NC[QTDE], NC[VALOR OP]/NC[QTDE])</f>
        <v>1.875528455284553E-2</v>
      </c>
      <c r="AB66" s="15">
        <f>TRUNC(IF(OR(NC[T]="CV",NC[T]="VV"),     N66*SETUP!$H$3,     0),2)</f>
        <v>0.01</v>
      </c>
      <c r="AC6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2.1242276422764231E-2</v>
      </c>
      <c r="AE6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1.875528455284553E-2</v>
      </c>
      <c r="AF66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-30.590000000000014</v>
      </c>
      <c r="AG66" s="15">
        <f>IF(NC[LUCRO TMP] &lt;&gt; 0, NC[LUCRO TMP] - SUMPRODUCT(N(NC[ATIVO]=NC[[#This Row],[ATIVO]]),N(NC['[D/N']]="N"),N(NC[ID]&lt;NC[[#This Row],[ID]]),N(NC[PAR]=NC[[#This Row],[PAR]]), NC[LUCRO TMP]), 0)</f>
        <v>-30.590000000000014</v>
      </c>
      <c r="AH66" s="15">
        <f>IF(NC[U] = "U", SUMPRODUCT(N(NC[ID]&lt;=NC[[#This Row],[ID]]),N(NC[DATA BASE]=NC[[#This Row],[DATA BASE]]), N(NC['[D/N']] = "N"),    NC[LUCRO P/ OP]), 0)</f>
        <v>0</v>
      </c>
      <c r="AI66" s="15">
        <f>IF(NC[U] = "U", SUMPRODUCT(N(NC[DATA BASE]=NC[[#This Row],[DATA BASE]]), N(NC['[D/N']] = "D"),    NC[LUCRO P/ OP]), 0)</f>
        <v>0</v>
      </c>
      <c r="AJ66" s="15">
        <f>IF(NC[U] = "U", SUMPRODUCT(N(NC[DATA BASE]=NC[[#This Row],[DATA BASE]]), N(NC['[D/N']] = "D"),    NC[IRRF FONTE]), 0)</f>
        <v>0</v>
      </c>
    </row>
    <row r="67" spans="1:36" x14ac:dyDescent="0.2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7" s="15">
        <f>NC[QTDE]*NC[PREÇO]</f>
        <v>945.00000000000011</v>
      </c>
      <c r="O6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945</v>
      </c>
      <c r="P6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6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</v>
      </c>
      <c r="R6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0.73</v>
      </c>
      <c r="S67" s="15">
        <f>SETUP!$E$3 * IF(NC[PARCIAL] &gt; 0, NC[QTDE] / NC[PARCIAL], 1)</f>
        <v>14.9</v>
      </c>
      <c r="T67" s="15">
        <f>SUMPRODUCT(N(NC[DATA]=NC[[#This Row],[DATA]]),N(NC[ID]&lt;=NC[[#This Row],[ID]]), NC[CORR])</f>
        <v>44.7</v>
      </c>
      <c r="U67" s="15">
        <f>TRUNC(NC[CORRETAGEM]*SETUP!$F$3,2)</f>
        <v>0.89</v>
      </c>
      <c r="V67" s="15">
        <f>ROUND(NC[CORRETAGEM]*SETUP!$G$3,2)</f>
        <v>1.74</v>
      </c>
      <c r="W67" s="15">
        <f>NC[VALOR LÍQUIDO DAS OPERAÇÕES]-NC[TAXA DE LIQUIDAÇÃO]-NC[EMOLUMENTOS]-NC[TAXA DE REGISTRO]-NC[CORRETAGEM]-NC[ISS]-IF(NC['[D/N']]="D",    0,    NC[OUTRAS BOVESPA]) - NC[AJUSTE]</f>
        <v>896.20999999999992</v>
      </c>
      <c r="X67" s="15">
        <f>IF(AND(NC['[D/N']]="D",    NC[T]="CV",    NC[LÍQUIDO BASE] &gt; 0),    TRUNC(NC[LÍQUIDO BASE]*0.01, 2),    0)</f>
        <v>0</v>
      </c>
      <c r="Y67" s="15">
        <f>IF(NC[PREÇO] &gt; 0,    NC[LÍQUIDO BASE]-SUMPRODUCT(N(NC[DATA]=NC[[#This Row],[DATA]]),    NC[IRRF FONTE]),    0)</f>
        <v>896.20999999999992</v>
      </c>
      <c r="Z67" s="20">
        <f>NC[LÍQUIDO]-SUMPRODUCT(N(NC[DATA]=NC[[#This Row],[DATA]]),N(NC[ID]=(NC[[#This Row],[ID]]-1)),NC[LÍQUIDO])</f>
        <v>926.8</v>
      </c>
      <c r="AA67" s="15">
        <f>IF(NC[T] = "VC", ABS(NC[VALOR OP]) / NC[QTDE], NC[VALOR OP]/NC[QTDE])</f>
        <v>0.26479999999999998</v>
      </c>
      <c r="AB67" s="15">
        <f>TRUNC(IF(OR(NC[T]="CV",NC[T]="VV"),     N67*SETUP!$H$3,     0),2)</f>
        <v>0.04</v>
      </c>
      <c r="AC6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-3500</v>
      </c>
      <c r="AD6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6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0.26479999999999998</v>
      </c>
      <c r="AF6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7" s="15">
        <f>IF(NC[LUCRO TMP] &lt;&gt; 0, NC[LUCRO TMP] - SUMPRODUCT(N(NC[ATIVO]=NC[[#This Row],[ATIVO]]),N(NC['[D/N']]="N"),N(NC[ID]&lt;NC[[#This Row],[ID]]),N(NC[PAR]=NC[[#This Row],[PAR]]), NC[LUCRO TMP]), 0)</f>
        <v>0</v>
      </c>
      <c r="AH67" s="15">
        <f>IF(NC[U] = "U", SUMPRODUCT(N(NC[ID]&lt;=NC[[#This Row],[ID]]),N(NC[DATA BASE]=NC[[#This Row],[DATA BASE]]), N(NC['[D/N']] = "N"),    NC[LUCRO P/ OP]), 0)</f>
        <v>0</v>
      </c>
      <c r="AI67" s="15">
        <f>IF(NC[U] = "U", SUMPRODUCT(N(NC[DATA BASE]=NC[[#This Row],[DATA BASE]]), N(NC['[D/N']] = "D"),    NC[LUCRO P/ OP]), 0)</f>
        <v>0</v>
      </c>
      <c r="AJ67" s="15">
        <f>IF(NC[U] = "U", SUMPRODUCT(N(NC[DATA BASE]=NC[[#This Row],[DATA BASE]]), N(NC['[D/N']] = "D"),    NC[IRRF FONTE]), 0)</f>
        <v>0</v>
      </c>
    </row>
    <row r="68" spans="1:36" x14ac:dyDescent="0.2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8" s="87">
        <f>NC[QTDE]*NC[PREÇO]</f>
        <v>175</v>
      </c>
      <c r="O6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175</v>
      </c>
      <c r="P6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6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6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S68" s="87">
        <f>SETUP!$E$3 * IF(NC[PARCIAL] &gt; 0, NC[QTDE] / NC[PARCIAL], 1)</f>
        <v>14.9</v>
      </c>
      <c r="T68" s="87">
        <f>SUMPRODUCT(N(NC[DATA]=NC[[#This Row],[DATA]]),N(NC[ID]&lt;=NC[[#This Row],[ID]]), NC[CORR])</f>
        <v>14.9</v>
      </c>
      <c r="U68" s="87">
        <f>TRUNC(NC[CORRETAGEM]*SETUP!$F$3,2)</f>
        <v>0.28999999999999998</v>
      </c>
      <c r="V68" s="87">
        <f>ROUND(NC[CORRETAGEM]*SETUP!$G$3,2)</f>
        <v>0.57999999999999996</v>
      </c>
      <c r="W68" s="87">
        <f>NC[VALOR LÍQUIDO DAS OPERAÇÕES]-NC[TAXA DE LIQUIDAÇÃO]-NC[EMOLUMENTOS]-NC[TAXA DE REGISTRO]-NC[CORRETAGEM]-NC[ISS]-IF(NC['[D/N']]="D",    0,    NC[OUTRAS BOVESPA]) - NC[AJUSTE]</f>
        <v>159.01</v>
      </c>
      <c r="X68" s="87">
        <f>IF(AND(NC['[D/N']]="D",    NC[T]="CV",    NC[LÍQUIDO BASE] &gt; 0),    TRUNC(NC[LÍQUIDO BASE]*0.01, 2),    0)</f>
        <v>0</v>
      </c>
      <c r="Y68" s="15">
        <f>IF(NC[PREÇO] &gt; 0,    NC[LÍQUIDO BASE]-SUMPRODUCT(N(NC[DATA]=NC[[#This Row],[DATA]]),    NC[IRRF FONTE]),    0)</f>
        <v>159.01</v>
      </c>
      <c r="Z68" s="89">
        <f>NC[LÍQUIDO]-SUMPRODUCT(N(NC[DATA]=NC[[#This Row],[DATA]]),N(NC[ID]=(NC[[#This Row],[ID]]-1)),NC[LÍQUIDO])</f>
        <v>159.01</v>
      </c>
      <c r="AA68" s="87">
        <f>IF(NC[T] = "VC", ABS(NC[VALOR OP]) / NC[QTDE], NC[VALOR OP]/NC[QTDE])</f>
        <v>4.5431428571428567E-2</v>
      </c>
      <c r="AB68" s="87">
        <f>TRUNC(IF(OR(NC[T]="CV",NC[T]="VV"),     N68*SETUP!$H$3,     0),2)</f>
        <v>0</v>
      </c>
      <c r="AC6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0.5252</v>
      </c>
      <c r="AE6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4.5431428571428567E-2</v>
      </c>
      <c r="AF6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-1679.19</v>
      </c>
      <c r="AG68" s="87">
        <f>IF(NC[LUCRO TMP] &lt;&gt; 0, NC[LUCRO TMP] - SUMPRODUCT(N(NC[ATIVO]=NC[[#This Row],[ATIVO]]),N(NC['[D/N']]="N"),N(NC[ID]&lt;NC[[#This Row],[ID]]),N(NC[PAR]=NC[[#This Row],[PAR]]), NC[LUCRO TMP]), 0)</f>
        <v>-1679.19</v>
      </c>
      <c r="AH68" s="87">
        <f>IF(NC[U] = "U", SUMPRODUCT(N(NC[ID]&lt;=NC[[#This Row],[ID]]),N(NC[DATA BASE]=NC[[#This Row],[DATA BASE]]), N(NC['[D/N']] = "N"),    NC[LUCRO P/ OP]), 0)</f>
        <v>0</v>
      </c>
      <c r="AI68" s="87">
        <f>IF(NC[U] = "U", SUMPRODUCT(N(NC[DATA BASE]=NC[[#This Row],[DATA BASE]]), N(NC['[D/N']] = "D"),    NC[LUCRO P/ OP]), 0)</f>
        <v>0</v>
      </c>
      <c r="AJ68" s="87">
        <f>IF(NC[U] = "U", SUMPRODUCT(N(NC[DATA BASE]=NC[[#This Row],[DATA BASE]]), N(NC['[D/N']] = "D"),    NC[IRRF FONTE]), 0)</f>
        <v>0</v>
      </c>
    </row>
    <row r="69" spans="1:36" x14ac:dyDescent="0.2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9" s="15">
        <f>NC[QTDE]*NC[PREÇO]</f>
        <v>1014.9999999999999</v>
      </c>
      <c r="O6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-839.99999999999989</v>
      </c>
      <c r="P6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0.32</v>
      </c>
      <c r="Q6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0.44</v>
      </c>
      <c r="R6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0.82</v>
      </c>
      <c r="S69" s="15">
        <f>SETUP!$E$3 * IF(NC[PARCIAL] &gt; 0, NC[QTDE] / NC[PARCIAL], 1)</f>
        <v>14.9</v>
      </c>
      <c r="T69" s="15">
        <f>SUMPRODUCT(N(NC[DATA]=NC[[#This Row],[DATA]]),N(NC[ID]&lt;=NC[[#This Row],[ID]]), NC[CORR])</f>
        <v>29.8</v>
      </c>
      <c r="U69" s="15">
        <f>TRUNC(NC[CORRETAGEM]*SETUP!$F$3,2)</f>
        <v>0.59</v>
      </c>
      <c r="V69" s="15">
        <f>ROUND(NC[CORRETAGEM]*SETUP!$G$3,2)</f>
        <v>1.1599999999999999</v>
      </c>
      <c r="W69" s="15">
        <f>NC[VALOR LÍQUIDO DAS OPERAÇÕES]-NC[TAXA DE LIQUIDAÇÃO]-NC[EMOLUMENTOS]-NC[TAXA DE REGISTRO]-NC[CORRETAGEM]-NC[ISS]-IF(NC['[D/N']]="D",    0,    NC[OUTRAS BOVESPA]) - NC[AJUSTE]</f>
        <v>-873.13</v>
      </c>
      <c r="X69" s="15">
        <f>IF(AND(NC['[D/N']]="D",    NC[T]="CV",    NC[LÍQUIDO BASE] &gt; 0),    TRUNC(NC[LÍQUIDO BASE]*0.01, 2),    0)</f>
        <v>0</v>
      </c>
      <c r="Y69" s="15">
        <f>IF(NC[PREÇO] &gt; 0,    NC[LÍQUIDO BASE]-SUMPRODUCT(N(NC[DATA]=NC[[#This Row],[DATA]]),    NC[IRRF FONTE]),    0)</f>
        <v>-873.13</v>
      </c>
      <c r="Z69" s="20">
        <f>NC[LÍQUIDO]-SUMPRODUCT(N(NC[DATA]=NC[[#This Row],[DATA]]),N(NC[ID]=(NC[[#This Row],[ID]]-1)),NC[LÍQUIDO])</f>
        <v>-1032.1399999999999</v>
      </c>
      <c r="AA69" s="15">
        <f>IF(NC[T] = "VC", ABS(NC[VALOR OP]) / NC[QTDE], NC[VALOR OP]/NC[QTDE])</f>
        <v>0.2948971428571428</v>
      </c>
      <c r="AB69" s="15">
        <f>TRUNC(IF(OR(NC[T]="CV",NC[T]="VV"),     N69*SETUP!$H$3,     0),2)</f>
        <v>0</v>
      </c>
      <c r="AC6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0.2948971428571428</v>
      </c>
      <c r="AE6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0.26479999999999998</v>
      </c>
      <c r="AF6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-105.33999999999988</v>
      </c>
      <c r="AG69" s="15">
        <f>IF(NC[LUCRO TMP] &lt;&gt; 0, NC[LUCRO TMP] - SUMPRODUCT(N(NC[ATIVO]=NC[[#This Row],[ATIVO]]),N(NC['[D/N']]="N"),N(NC[ID]&lt;NC[[#This Row],[ID]]),N(NC[PAR]=NC[[#This Row],[PAR]]), NC[LUCRO TMP]), 0)</f>
        <v>-105.33999999999988</v>
      </c>
      <c r="AH69" s="15">
        <f>IF(NC[U] = "U", SUMPRODUCT(N(NC[ID]&lt;=NC[[#This Row],[ID]]),N(NC[DATA BASE]=NC[[#This Row],[DATA BASE]]), N(NC['[D/N']] = "N"),    NC[LUCRO P/ OP]), 0)</f>
        <v>0</v>
      </c>
      <c r="AI69" s="15">
        <f>IF(NC[U] = "U", SUMPRODUCT(N(NC[DATA BASE]=NC[[#This Row],[DATA BASE]]), N(NC['[D/N']] = "D"),    NC[LUCRO P/ OP]), 0)</f>
        <v>0</v>
      </c>
      <c r="AJ69" s="15">
        <f>IF(NC[U] = "U", SUMPRODUCT(N(NC[DATA BASE]=NC[[#This Row],[DATA BASE]]), N(NC['[D/N']] = "D"),    NC[IRRF FONTE]), 0)</f>
        <v>0</v>
      </c>
    </row>
    <row r="70" spans="1:36" x14ac:dyDescent="0.2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0" s="87">
        <f>NC[QTDE]*NC[PREÇO]</f>
        <v>480</v>
      </c>
      <c r="O7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-1320</v>
      </c>
      <c r="P7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0.45</v>
      </c>
      <c r="Q7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0.61</v>
      </c>
      <c r="R7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1.1599999999999999</v>
      </c>
      <c r="S70" s="87">
        <f>SETUP!$E$3 * IF(NC[PARCIAL] &gt; 0, NC[QTDE] / NC[PARCIAL], 1)</f>
        <v>14.9</v>
      </c>
      <c r="T70" s="87">
        <f>SUMPRODUCT(N(NC[DATA]=NC[[#This Row],[DATA]]),N(NC[ID]&lt;=NC[[#This Row],[ID]]), NC[CORR])</f>
        <v>44.7</v>
      </c>
      <c r="U70" s="87">
        <f>TRUNC(NC[CORRETAGEM]*SETUP!$F$3,2)</f>
        <v>0.89</v>
      </c>
      <c r="V70" s="87">
        <f>ROUND(NC[CORRETAGEM]*SETUP!$G$3,2)</f>
        <v>1.74</v>
      </c>
      <c r="W70" s="87">
        <f>NC[VALOR LÍQUIDO DAS OPERAÇÕES]-NC[TAXA DE LIQUIDAÇÃO]-NC[EMOLUMENTOS]-NC[TAXA DE REGISTRO]-NC[CORRETAGEM]-NC[ISS]-IF(NC['[D/N']]="D",    0,    NC[OUTRAS BOVESPA]) - NC[AJUSTE]</f>
        <v>-1369.5500000000002</v>
      </c>
      <c r="X70" s="87">
        <f>IF(AND(NC['[D/N']]="D",    NC[T]="CV",    NC[LÍQUIDO BASE] &gt; 0),    TRUNC(NC[LÍQUIDO BASE]*0.01, 2),    0)</f>
        <v>0</v>
      </c>
      <c r="Y70" s="15">
        <f>IF(NC[PREÇO] &gt; 0,    NC[LÍQUIDO BASE]-SUMPRODUCT(N(NC[DATA]=NC[[#This Row],[DATA]]),    NC[IRRF FONTE]),    0)</f>
        <v>-1369.5500000000002</v>
      </c>
      <c r="Z70" s="89">
        <f>NC[LÍQUIDO]-SUMPRODUCT(N(NC[DATA]=NC[[#This Row],[DATA]]),N(NC[ID]=(NC[[#This Row],[ID]]-1)),NC[LÍQUIDO])</f>
        <v>-496.42000000000019</v>
      </c>
      <c r="AA70" s="87">
        <f>IF(NC[T] = "VC", ABS(NC[VALOR OP]) / NC[QTDE], NC[VALOR OP]/NC[QTDE])</f>
        <v>-0.2482100000000001</v>
      </c>
      <c r="AB70" s="87">
        <f>TRUNC(IF(OR(NC[T]="CV",NC[T]="VV"),     N70*SETUP!$H$3,     0),2)</f>
        <v>0</v>
      </c>
      <c r="AC7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2000</v>
      </c>
      <c r="AD7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0.2482100000000001</v>
      </c>
      <c r="AE7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0" s="87">
        <f>IF(NC[LUCRO TMP] &lt;&gt; 0, NC[LUCRO TMP] - SUMPRODUCT(N(NC[ATIVO]=NC[[#This Row],[ATIVO]]),N(NC['[D/N']]="N"),N(NC[ID]&lt;NC[[#This Row],[ID]]),N(NC[PAR]=NC[[#This Row],[PAR]]), NC[LUCRO TMP]), 0)</f>
        <v>0</v>
      </c>
      <c r="AH70" s="87">
        <f>IF(NC[U] = "U", SUMPRODUCT(N(NC[ID]&lt;=NC[[#This Row],[ID]]),N(NC[DATA BASE]=NC[[#This Row],[DATA BASE]]), N(NC['[D/N']] = "N"),    NC[LUCRO P/ OP]), 0)</f>
        <v>0</v>
      </c>
      <c r="AI70" s="87">
        <f>IF(NC[U] = "U", SUMPRODUCT(N(NC[DATA BASE]=NC[[#This Row],[DATA BASE]]), N(NC['[D/N']] = "D"),    NC[LUCRO P/ OP]), 0)</f>
        <v>0</v>
      </c>
      <c r="AJ70" s="87">
        <f>IF(NC[U] = "U", SUMPRODUCT(N(NC[DATA BASE]=NC[[#This Row],[DATA BASE]]), N(NC['[D/N']] = "D"),    NC[IRRF FONTE]), 0)</f>
        <v>0</v>
      </c>
    </row>
    <row r="71" spans="1:36" x14ac:dyDescent="0.2">
      <c r="A71" s="13">
        <v>70</v>
      </c>
      <c r="B71" s="13"/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1" s="87">
        <f>NC[QTDE]*NC[PREÇO]</f>
        <v>1000</v>
      </c>
      <c r="O7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1000</v>
      </c>
      <c r="P7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0.27</v>
      </c>
      <c r="Q7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0.37</v>
      </c>
      <c r="R7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0.69</v>
      </c>
      <c r="S71" s="87">
        <f>SETUP!$E$3 * IF(NC[PARCIAL] &gt; 0, NC[QTDE] / NC[PARCIAL], 1)</f>
        <v>14.9</v>
      </c>
      <c r="T71" s="87">
        <f>SUMPRODUCT(N(NC[DATA]=NC[[#This Row],[DATA]]),N(NC[ID]&lt;=NC[[#This Row],[ID]]), NC[CORR])</f>
        <v>14.9</v>
      </c>
      <c r="U71" s="87">
        <f>TRUNC(NC[CORRETAGEM]*SETUP!$F$3,2)</f>
        <v>0.28999999999999998</v>
      </c>
      <c r="V71" s="87">
        <f>ROUND(NC[CORRETAGEM]*SETUP!$G$3,2)</f>
        <v>0.57999999999999996</v>
      </c>
      <c r="W71" s="87">
        <f>NC[VALOR LÍQUIDO DAS OPERAÇÕES]-NC[TAXA DE LIQUIDAÇÃO]-NC[EMOLUMENTOS]-NC[TAXA DE REGISTRO]-NC[CORRETAGEM]-NC[ISS]-IF(NC['[D/N']]="D",    0,    NC[OUTRAS BOVESPA]) - NC[AJUSTE]</f>
        <v>982.9</v>
      </c>
      <c r="X71" s="87">
        <f>IF(AND(NC['[D/N']]="D",    NC[T]="CV",    NC[LÍQUIDO BASE] &gt; 0),    TRUNC(NC[LÍQUIDO BASE]*0.01, 2),    0)</f>
        <v>0</v>
      </c>
      <c r="Y71" s="15">
        <f>IF(NC[PREÇO] &gt; 0,    NC[LÍQUIDO BASE]-SUMPRODUCT(N(NC[DATA]=NC[[#This Row],[DATA]]),    NC[IRRF FONTE]),    0)</f>
        <v>982.9</v>
      </c>
      <c r="Z71" s="89">
        <f>NC[LÍQUIDO]-SUMPRODUCT(N(NC[DATA]=NC[[#This Row],[DATA]]),N(NC[ID]=(NC[[#This Row],[ID]]-1)),NC[LÍQUIDO])</f>
        <v>982.9</v>
      </c>
      <c r="AA71" s="87">
        <f>IF(NC[T] = "VC", ABS(NC[VALOR OP]) / NC[QTDE], NC[VALOR OP]/NC[QTDE])</f>
        <v>0.49145</v>
      </c>
      <c r="AB71" s="87">
        <f>TRUNC(IF(OR(NC[T]="CV",NC[T]="VV"),     N71*SETUP!$H$3,     0),2)</f>
        <v>0.05</v>
      </c>
      <c r="AC7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0.2482100000000001</v>
      </c>
      <c r="AE7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0.49145</v>
      </c>
      <c r="AF7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486.47999999999979</v>
      </c>
      <c r="AG71" s="87">
        <f>IF(NC[LUCRO TMP] &lt;&gt; 0, NC[LUCRO TMP] - SUMPRODUCT(N(NC[ATIVO]=NC[[#This Row],[ATIVO]]),N(NC['[D/N']]="N"),N(NC[ID]&lt;NC[[#This Row],[ID]]),N(NC[PAR]=NC[[#This Row],[PAR]]), NC[LUCRO TMP]), 0)</f>
        <v>486.47999999999979</v>
      </c>
      <c r="AH71" s="87">
        <f>IF(NC[U] = "U", SUMPRODUCT(N(NC[ID]&lt;=NC[[#This Row],[ID]]),N(NC[DATA BASE]=NC[[#This Row],[DATA BASE]]), N(NC['[D/N']] = "N"),    NC[LUCRO P/ OP]), 0)</f>
        <v>0</v>
      </c>
      <c r="AI71" s="87">
        <f>IF(NC[U] = "U", SUMPRODUCT(N(NC[DATA BASE]=NC[[#This Row],[DATA BASE]]), N(NC['[D/N']] = "D"),    NC[LUCRO P/ OP]), 0)</f>
        <v>0</v>
      </c>
      <c r="AJ71" s="87">
        <f>IF(NC[U] = "U", SUMPRODUCT(N(NC[DATA BASE]=NC[[#This Row],[DATA BASE]]), N(NC['[D/N']] = "D"),    NC[IRRF FONTE]), 0)</f>
        <v>0</v>
      </c>
    </row>
    <row r="72" spans="1:36" x14ac:dyDescent="0.2">
      <c r="A72" s="13">
        <v>71</v>
      </c>
      <c r="B72" s="85"/>
      <c r="C72" s="85" t="s">
        <v>138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2" s="87">
        <f>NC[QTDE]*NC[PREÇO]</f>
        <v>205</v>
      </c>
      <c r="O72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-205</v>
      </c>
      <c r="P72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72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72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72" s="87">
        <f>SETUP!$E$3 * IF(NC[PARCIAL] &gt; 0, NC[QTDE] / NC[PARCIAL], 1)</f>
        <v>14.9</v>
      </c>
      <c r="T72" s="87">
        <f>SUMPRODUCT(N(NC[DATA]=NC[[#This Row],[DATA]]),N(NC[ID]&lt;=NC[[#This Row],[ID]]), NC[CORR])</f>
        <v>14.9</v>
      </c>
      <c r="U72" s="87">
        <f>TRUNC(NC[CORRETAGEM]*SETUP!$F$3,2)</f>
        <v>0.28999999999999998</v>
      </c>
      <c r="V72" s="87">
        <f>ROUND(NC[CORRETAGEM]*SETUP!$G$3,2)</f>
        <v>0.57999999999999996</v>
      </c>
      <c r="W72" s="87">
        <f>NC[VALOR LÍQUIDO DAS OPERAÇÕES]-NC[TAXA DE LIQUIDAÇÃO]-NC[EMOLUMENTOS]-NC[TAXA DE REGISTRO]-NC[CORRETAGEM]-NC[ISS]-IF(NC['[D/N']]="D",    0,    NC[OUTRAS BOVESPA]) - NC[AJUSTE]</f>
        <v>-220.27</v>
      </c>
      <c r="X72" s="87">
        <f>IF(AND(NC['[D/N']]="D",    NC[T]="CV",    NC[LÍQUIDO BASE] &gt; 0),    TRUNC(NC[LÍQUIDO BASE]*0.01, 2),    0)</f>
        <v>0</v>
      </c>
      <c r="Y72" s="15">
        <f>IF(NC[PREÇO] &gt; 0,    NC[LÍQUIDO BASE]-SUMPRODUCT(N(NC[DATA]=NC[[#This Row],[DATA]]),    NC[IRRF FONTE]),    0)</f>
        <v>-220.27</v>
      </c>
      <c r="Z72" s="89">
        <f>NC[LÍQUIDO]-SUMPRODUCT(N(NC[DATA]=NC[[#This Row],[DATA]]),N(NC[ID]=(NC[[#This Row],[ID]]-1)),NC[LÍQUIDO])</f>
        <v>-220.27</v>
      </c>
      <c r="AA72" s="87">
        <f>IF(NC[T] = "VC", ABS(NC[VALOR OP]) / NC[QTDE], NC[VALOR OP]/NC[QTDE])</f>
        <v>-0.44054000000000004</v>
      </c>
      <c r="AB72" s="87">
        <f>TRUNC(IF(OR(NC[T]="CV",NC[T]="VV"),     N72*SETUP!$H$3,     0),2)</f>
        <v>0</v>
      </c>
      <c r="AC72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2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0.44054000000000004</v>
      </c>
      <c r="AE72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2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2" s="87">
        <f>IF(NC[LUCRO TMP] &lt;&gt; 0, NC[LUCRO TMP] - SUMPRODUCT(N(NC[ATIVO]=NC[[#This Row],[ATIVO]]),N(NC['[D/N']]="N"),N(NC[ID]&lt;NC[[#This Row],[ID]]),N(NC[PAR]=NC[[#This Row],[PAR]]), NC[LUCRO TMP]), 0)</f>
        <v>0</v>
      </c>
      <c r="AH72" s="87">
        <f>IF(NC[U] = "U", SUMPRODUCT(N(NC[ID]&lt;=NC[[#This Row],[ID]]),N(NC[DATA BASE]=NC[[#This Row],[DATA BASE]]), N(NC['[D/N']] = "N"),    NC[LUCRO P/ OP]), 0)</f>
        <v>0</v>
      </c>
      <c r="AI72" s="87">
        <f>IF(NC[U] = "U", SUMPRODUCT(N(NC[DATA BASE]=NC[[#This Row],[DATA BASE]]), N(NC['[D/N']] = "D"),    NC[LUCRO P/ OP]), 0)</f>
        <v>0</v>
      </c>
      <c r="AJ72" s="87">
        <f>IF(NC[U] = "U", SUMPRODUCT(N(NC[DATA BASE]=NC[[#This Row],[DATA BASE]]), N(NC['[D/N']] = "D"),    NC[IRRF FONTE]), 0)</f>
        <v>0</v>
      </c>
    </row>
    <row r="73" spans="1:36" x14ac:dyDescent="0.2">
      <c r="A73" s="13">
        <v>72</v>
      </c>
      <c r="B73" s="85"/>
      <c r="C73" s="85" t="s">
        <v>138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3" s="87">
        <f>NC[QTDE]*NC[PREÇO]</f>
        <v>145</v>
      </c>
      <c r="O73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-60</v>
      </c>
      <c r="P73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0.06</v>
      </c>
      <c r="Q73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R73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S73" s="87">
        <f>SETUP!$E$3 * IF(NC[PARCIAL] &gt; 0, NC[QTDE] / NC[PARCIAL], 1)</f>
        <v>14.9</v>
      </c>
      <c r="T73" s="87">
        <f>SUMPRODUCT(N(NC[DATA]=NC[[#This Row],[DATA]]),N(NC[ID]&lt;=NC[[#This Row],[ID]]), NC[CORR])</f>
        <v>29.8</v>
      </c>
      <c r="U73" s="87">
        <f>TRUNC(NC[CORRETAGEM]*SETUP!$F$3,2)</f>
        <v>0.59</v>
      </c>
      <c r="V73" s="87">
        <f>ROUND(NC[CORRETAGEM]*SETUP!$G$3,2)</f>
        <v>1.1599999999999999</v>
      </c>
      <c r="W73" s="87">
        <f>NC[VALOR LÍQUIDO DAS OPERAÇÕES]-NC[TAXA DE LIQUIDAÇÃO]-NC[EMOLUMENTOS]-NC[TAXA DE REGISTRO]-NC[CORRETAGEM]-NC[ISS]-IF(NC['[D/N']]="D",    0,    NC[OUTRAS BOVESPA]) - NC[AJUSTE]</f>
        <v>-90.54</v>
      </c>
      <c r="X73" s="87">
        <f>IF(AND(NC['[D/N']]="D",    NC[T]="CV",    NC[LÍQUIDO BASE] &gt; 0),    TRUNC(NC[LÍQUIDO BASE]*0.01, 2),    0)</f>
        <v>0</v>
      </c>
      <c r="Y73" s="15">
        <f>IF(NC[PREÇO] &gt; 0,    NC[LÍQUIDO BASE]-SUMPRODUCT(N(NC[DATA]=NC[[#This Row],[DATA]]),    NC[IRRF FONTE]),    0)</f>
        <v>-90.54</v>
      </c>
      <c r="Z73" s="89">
        <f>NC[LÍQUIDO]-SUMPRODUCT(N(NC[DATA]=NC[[#This Row],[DATA]]),N(NC[ID]=(NC[[#This Row],[ID]]-1)),NC[LÍQUIDO])</f>
        <v>129.73000000000002</v>
      </c>
      <c r="AA73" s="87">
        <f>IF(NC[T] = "VC", ABS(NC[VALOR OP]) / NC[QTDE], NC[VALOR OP]/NC[QTDE])</f>
        <v>0.25946000000000002</v>
      </c>
      <c r="AB73" s="87">
        <f>TRUNC(IF(OR(NC[T]="CV",NC[T]="VV"),     N73*SETUP!$H$3,     0),2)</f>
        <v>0</v>
      </c>
      <c r="AC73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3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0.44054000000000004</v>
      </c>
      <c r="AE73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0.25946000000000002</v>
      </c>
      <c r="AF73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-90.54</v>
      </c>
      <c r="AG73" s="87">
        <f>IF(NC[LUCRO TMP] &lt;&gt; 0, NC[LUCRO TMP] - SUMPRODUCT(N(NC[ATIVO]=NC[[#This Row],[ATIVO]]),N(NC['[D/N']]="N"),N(NC[ID]&lt;NC[[#This Row],[ID]]),N(NC[PAR]=NC[[#This Row],[PAR]]), NC[LUCRO TMP]), 0)</f>
        <v>-90.54</v>
      </c>
      <c r="AH73" s="87">
        <f>IF(NC[U] = "U", SUMPRODUCT(N(NC[ID]&lt;=NC[[#This Row],[ID]]),N(NC[DATA BASE]=NC[[#This Row],[DATA BASE]]), N(NC['[D/N']] = "N"),    NC[LUCRO P/ OP]), 0)</f>
        <v>0</v>
      </c>
      <c r="AI73" s="87">
        <f>IF(NC[U] = "U", SUMPRODUCT(N(NC[DATA BASE]=NC[[#This Row],[DATA BASE]]), N(NC['[D/N']] = "D"),    NC[LUCRO P/ OP]), 0)</f>
        <v>0</v>
      </c>
      <c r="AJ73" s="87">
        <f>IF(NC[U] = "U", SUMPRODUCT(N(NC[DATA BASE]=NC[[#This Row],[DATA BASE]]), N(NC['[D/N']] = "D"),    NC[IRRF FONTE]), 0)</f>
        <v>0</v>
      </c>
    </row>
    <row r="74" spans="1:36" x14ac:dyDescent="0.2">
      <c r="A74" s="13">
        <v>73</v>
      </c>
      <c r="B74" s="85"/>
      <c r="C74" s="85" t="s">
        <v>139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74" s="87">
        <f>NC[QTDE]*NC[PREÇO]</f>
        <v>447</v>
      </c>
      <c r="O7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-507</v>
      </c>
      <c r="P7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0.18</v>
      </c>
      <c r="Q7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R7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0.36</v>
      </c>
      <c r="S74" s="87">
        <f>SETUP!$E$3 * IF(NC[PARCIAL] &gt; 0, NC[QTDE] / NC[PARCIAL], 1)</f>
        <v>14.9</v>
      </c>
      <c r="T74" s="87">
        <f>SUMPRODUCT(N(NC[DATA]=NC[[#This Row],[DATA]]),N(NC[ID]&lt;=NC[[#This Row],[ID]]), NC[CORR])</f>
        <v>44.7</v>
      </c>
      <c r="U74" s="87">
        <f>TRUNC(NC[CORRETAGEM]*SETUP!$F$3,2)</f>
        <v>0.89</v>
      </c>
      <c r="V74" s="87">
        <f>ROUND(NC[CORRETAGEM]*SETUP!$G$3,2)</f>
        <v>1.74</v>
      </c>
      <c r="W74" s="87">
        <f>NC[VALOR LÍQUIDO DAS OPERAÇÕES]-NC[TAXA DE LIQUIDAÇÃO]-NC[EMOLUMENTOS]-NC[TAXA DE REGISTRO]-NC[CORRETAGEM]-NC[ISS]-IF(NC['[D/N']]="D",    0,    NC[OUTRAS BOVESPA]) - NC[AJUSTE]</f>
        <v>-555.07000000000005</v>
      </c>
      <c r="X74" s="87">
        <f>IF(AND(NC['[D/N']]="D",    NC[T]="CV",    NC[LÍQUIDO BASE] &gt; 0),    TRUNC(NC[LÍQUIDO BASE]*0.01, 2),    0)</f>
        <v>0</v>
      </c>
      <c r="Y74" s="15">
        <f>IF(NC[PREÇO] &gt; 0,    NC[LÍQUIDO BASE]-SUMPRODUCT(N(NC[DATA]=NC[[#This Row],[DATA]]),    NC[IRRF FONTE]),    0)</f>
        <v>-555.07000000000005</v>
      </c>
      <c r="Z74" s="89">
        <f>NC[LÍQUIDO]-SUMPRODUCT(N(NC[DATA]=NC[[#This Row],[DATA]]),N(NC[ID]=(NC[[#This Row],[ID]]-1)),NC[LÍQUIDO])</f>
        <v>-464.53000000000003</v>
      </c>
      <c r="AA74" s="87">
        <f>IF(NC[T] = "VC", ABS(NC[VALOR OP]) / NC[QTDE], NC[VALOR OP]/NC[QTDE])</f>
        <v>-1.5484333333333333</v>
      </c>
      <c r="AB74" s="87">
        <f>TRUNC(IF(OR(NC[T]="CV",NC[T]="VV"),     N74*SETUP!$H$3,     0),2)</f>
        <v>0</v>
      </c>
      <c r="AC7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D7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1.5484333333333333</v>
      </c>
      <c r="AE7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4" s="87">
        <f>IF(NC[LUCRO TMP] &lt;&gt; 0, NC[LUCRO TMP] - SUMPRODUCT(N(NC[ATIVO]=NC[[#This Row],[ATIVO]]),N(NC['[D/N']]="N"),N(NC[ID]&lt;NC[[#This Row],[ID]]),N(NC[PAR]=NC[[#This Row],[PAR]]), NC[LUCRO TMP]), 0)</f>
        <v>0</v>
      </c>
      <c r="AH74" s="87">
        <f>IF(NC[U] = "U", SUMPRODUCT(N(NC[ID]&lt;=NC[[#This Row],[ID]]),N(NC[DATA BASE]=NC[[#This Row],[DATA BASE]]), N(NC['[D/N']] = "N"),    NC[LUCRO P/ OP]), 0)</f>
        <v>0</v>
      </c>
      <c r="AI74" s="87">
        <f>IF(NC[U] = "U", SUMPRODUCT(N(NC[DATA BASE]=NC[[#This Row],[DATA BASE]]), N(NC['[D/N']] = "D"),    NC[LUCRO P/ OP]), 0)</f>
        <v>0</v>
      </c>
      <c r="AJ74" s="87">
        <f>IF(NC[U] = "U", SUMPRODUCT(N(NC[DATA BASE]=NC[[#This Row],[DATA BASE]]), N(NC['[D/N']] = "D"),    NC[IRRF FONTE]), 0)</f>
        <v>0</v>
      </c>
    </row>
    <row r="75" spans="1:36" x14ac:dyDescent="0.2">
      <c r="A75" s="13">
        <v>74</v>
      </c>
      <c r="B75" s="85"/>
      <c r="C75" s="85" t="s">
        <v>140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5" s="87">
        <f>NC[QTDE]*NC[PREÇO]</f>
        <v>624</v>
      </c>
      <c r="O75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-624</v>
      </c>
      <c r="P75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75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75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75" s="87">
        <f>SETUP!$E$3 * IF(NC[PARCIAL] &gt; 0, NC[QTDE] / NC[PARCIAL], 1)</f>
        <v>14.9</v>
      </c>
      <c r="T75" s="87">
        <f>SUMPRODUCT(N(NC[DATA]=NC[[#This Row],[DATA]]),N(NC[ID]&lt;=NC[[#This Row],[ID]]), NC[CORR])</f>
        <v>14.9</v>
      </c>
      <c r="U75" s="87">
        <f>TRUNC(NC[CORRETAGEM]*SETUP!$F$3,2)</f>
        <v>0.28999999999999998</v>
      </c>
      <c r="V75" s="87">
        <f>ROUND(NC[CORRETAGEM]*SETUP!$G$3,2)</f>
        <v>0.57999999999999996</v>
      </c>
      <c r="W75" s="87">
        <f>NC[VALOR LÍQUIDO DAS OPERAÇÕES]-NC[TAXA DE LIQUIDAÇÃO]-NC[EMOLUMENTOS]-NC[TAXA DE REGISTRO]-NC[CORRETAGEM]-NC[ISS]-IF(NC['[D/N']]="D",    0,    NC[OUTRAS BOVESPA]) - NC[AJUSTE]</f>
        <v>-639.46</v>
      </c>
      <c r="X75" s="87">
        <f>IF(AND(NC['[D/N']]="D",    NC[T]="CV",    NC[LÍQUIDO BASE] &gt; 0),    TRUNC(NC[LÍQUIDO BASE]*0.01, 2),    0)</f>
        <v>0</v>
      </c>
      <c r="Y75" s="15">
        <f>IF(NC[PREÇO] &gt; 0,    NC[LÍQUIDO BASE]-SUMPRODUCT(N(NC[DATA]=NC[[#This Row],[DATA]]),    NC[IRRF FONTE]),    0)</f>
        <v>-642.5</v>
      </c>
      <c r="Z75" s="89">
        <f>NC[LÍQUIDO]-SUMPRODUCT(N(NC[DATA]=NC[[#This Row],[DATA]]),N(NC[ID]=(NC[[#This Row],[ID]]-1)),NC[LÍQUIDO])</f>
        <v>-642.5</v>
      </c>
      <c r="AA75" s="87">
        <f>IF(NC[T] = "VC", ABS(NC[VALOR OP]) / NC[QTDE], NC[VALOR OP]/NC[QTDE])</f>
        <v>-0.53541666666666665</v>
      </c>
      <c r="AB75" s="87">
        <f>TRUNC(IF(OR(NC[T]="CV",NC[T]="VV"),     N75*SETUP!$H$3,     0),2)</f>
        <v>0</v>
      </c>
      <c r="AC75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5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0.53541666666666665</v>
      </c>
      <c r="AE75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5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5" s="87">
        <f>IF(NC[LUCRO TMP] &lt;&gt; 0, NC[LUCRO TMP] - SUMPRODUCT(N(NC[ATIVO]=NC[[#This Row],[ATIVO]]),N(NC['[D/N']]="N"),N(NC[ID]&lt;NC[[#This Row],[ID]]),N(NC[PAR]=NC[[#This Row],[PAR]]), NC[LUCRO TMP]), 0)</f>
        <v>0</v>
      </c>
      <c r="AH75" s="87">
        <f>IF(NC[U] = "U", SUMPRODUCT(N(NC[ID]&lt;=NC[[#This Row],[ID]]),N(NC[DATA BASE]=NC[[#This Row],[DATA BASE]]), N(NC['[D/N']] = "N"),    NC[LUCRO P/ OP]), 0)</f>
        <v>0</v>
      </c>
      <c r="AI75" s="87">
        <f>IF(NC[U] = "U", SUMPRODUCT(N(NC[DATA BASE]=NC[[#This Row],[DATA BASE]]), N(NC['[D/N']] = "D"),    NC[LUCRO P/ OP]), 0)</f>
        <v>0</v>
      </c>
      <c r="AJ75" s="87">
        <f>IF(NC[U] = "U", SUMPRODUCT(N(NC[DATA BASE]=NC[[#This Row],[DATA BASE]]), N(NC['[D/N']] = "D"),    NC[IRRF FONTE]), 0)</f>
        <v>0</v>
      </c>
    </row>
    <row r="76" spans="1:36" x14ac:dyDescent="0.2">
      <c r="A76" s="13">
        <v>75</v>
      </c>
      <c r="B76" s="85"/>
      <c r="C76" s="85" t="s">
        <v>140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6" s="87">
        <f>NC[QTDE]*NC[PREÇO]</f>
        <v>960</v>
      </c>
      <c r="O76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336</v>
      </c>
      <c r="P76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0.28000000000000003</v>
      </c>
      <c r="Q76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0.19</v>
      </c>
      <c r="R76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0.23</v>
      </c>
      <c r="S76" s="87">
        <f>SETUP!$E$3 * IF(NC[PARCIAL] &gt; 0, NC[QTDE] / NC[PARCIAL], 1)</f>
        <v>14.9</v>
      </c>
      <c r="T76" s="87">
        <f>SUMPRODUCT(N(NC[DATA]=NC[[#This Row],[DATA]]),N(NC[ID]&lt;=NC[[#This Row],[ID]]), NC[CORR])</f>
        <v>29.8</v>
      </c>
      <c r="U76" s="87">
        <f>TRUNC(NC[CORRETAGEM]*SETUP!$F$3,2)</f>
        <v>0.59</v>
      </c>
      <c r="V76" s="87">
        <f>ROUND(NC[CORRETAGEM]*SETUP!$G$3,2)</f>
        <v>1.1599999999999999</v>
      </c>
      <c r="W76" s="87">
        <f>NC[VALOR LÍQUIDO DAS OPERAÇÕES]-NC[TAXA DE LIQUIDAÇÃO]-NC[EMOLUMENTOS]-NC[TAXA DE REGISTRO]-NC[CORRETAGEM]-NC[ISS]-IF(NC['[D/N']]="D",    0,    NC[OUTRAS BOVESPA]) - NC[AJUSTE]</f>
        <v>304.91000000000003</v>
      </c>
      <c r="X76" s="87">
        <f>IF(AND(NC['[D/N']]="D",    NC[T]="CV",    NC[LÍQUIDO BASE] &gt; 0),    TRUNC(NC[LÍQUIDO BASE]*0.01, 2),    0)</f>
        <v>3.04</v>
      </c>
      <c r="Y76" s="15">
        <f>IF(NC[PREÇO] &gt; 0,    NC[LÍQUIDO BASE]-SUMPRODUCT(N(NC[DATA]=NC[[#This Row],[DATA]]),    NC[IRRF FONTE]),    0)</f>
        <v>301.87</v>
      </c>
      <c r="Z76" s="89">
        <f>NC[LÍQUIDO]-SUMPRODUCT(N(NC[DATA]=NC[[#This Row],[DATA]]),N(NC[ID]=(NC[[#This Row],[ID]]-1)),NC[LÍQUIDO])</f>
        <v>944.37</v>
      </c>
      <c r="AA76" s="87">
        <f>IF(NC[T] = "VC", ABS(NC[VALOR OP]) / NC[QTDE], NC[VALOR OP]/NC[QTDE])</f>
        <v>0.78697499999999998</v>
      </c>
      <c r="AB76" s="87">
        <f>TRUNC(IF(OR(NC[T]="CV",NC[T]="VV"),     N76*SETUP!$H$3,     0),2)</f>
        <v>0.04</v>
      </c>
      <c r="AC76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6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0.53541666666666665</v>
      </c>
      <c r="AE76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0.78697499999999998</v>
      </c>
      <c r="AF76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304.91000000000003</v>
      </c>
      <c r="AG76" s="87">
        <f>IF(NC[LUCRO TMP] &lt;&gt; 0, NC[LUCRO TMP] - SUMPRODUCT(N(NC[ATIVO]=NC[[#This Row],[ATIVO]]),N(NC['[D/N']]="N"),N(NC[ID]&lt;NC[[#This Row],[ID]]),N(NC[PAR]=NC[[#This Row],[PAR]]), NC[LUCRO TMP]), 0)</f>
        <v>304.91000000000003</v>
      </c>
      <c r="AH76" s="87">
        <f>IF(NC[U] = "U", SUMPRODUCT(N(NC[ID]&lt;=NC[[#This Row],[ID]]),N(NC[DATA BASE]=NC[[#This Row],[DATA BASE]]), N(NC['[D/N']] = "N"),    NC[LUCRO P/ OP]), 0)</f>
        <v>0</v>
      </c>
      <c r="AI76" s="87">
        <f>IF(NC[U] = "U", SUMPRODUCT(N(NC[DATA BASE]=NC[[#This Row],[DATA BASE]]), N(NC['[D/N']] = "D"),    NC[LUCRO P/ OP]), 0)</f>
        <v>0</v>
      </c>
      <c r="AJ76" s="87">
        <f>IF(NC[U] = "U", SUMPRODUCT(N(NC[DATA BASE]=NC[[#This Row],[DATA BASE]]), N(NC['[D/N']] = "D"),    NC[IRRF FONTE]), 0)</f>
        <v>0</v>
      </c>
    </row>
    <row r="77" spans="1:36" x14ac:dyDescent="0.2">
      <c r="A77" s="13">
        <v>76</v>
      </c>
      <c r="B77" s="85" t="s">
        <v>49</v>
      </c>
      <c r="C77" s="85" t="s">
        <v>139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77" s="87">
        <f>NC[QTDE]*NC[PREÇO]</f>
        <v>675</v>
      </c>
      <c r="O77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1011</v>
      </c>
      <c r="P77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0.47</v>
      </c>
      <c r="Q77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0.43</v>
      </c>
      <c r="R77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0.7</v>
      </c>
      <c r="S77" s="87">
        <f>SETUP!$E$3 * IF(NC[PARCIAL] &gt; 0, NC[QTDE] / NC[PARCIAL], 1)</f>
        <v>14.9</v>
      </c>
      <c r="T77" s="87">
        <f>SUMPRODUCT(N(NC[DATA]=NC[[#This Row],[DATA]]),N(NC[ID]&lt;=NC[[#This Row],[ID]]), NC[CORR])</f>
        <v>44.7</v>
      </c>
      <c r="U77" s="87">
        <f>TRUNC(NC[CORRETAGEM]*SETUP!$F$3,2)</f>
        <v>0.89</v>
      </c>
      <c r="V77" s="87">
        <f>ROUND(NC[CORRETAGEM]*SETUP!$G$3,2)</f>
        <v>1.74</v>
      </c>
      <c r="W77" s="87">
        <f>NC[VALOR LÍQUIDO DAS OPERAÇÕES]-NC[TAXA DE LIQUIDAÇÃO]-NC[EMOLUMENTOS]-NC[TAXA DE REGISTRO]-NC[CORRETAGEM]-NC[ISS]-IF(NC['[D/N']]="D",    0,    NC[OUTRAS BOVESPA]) - NC[AJUSTE]</f>
        <v>962.06999999999994</v>
      </c>
      <c r="X77" s="87">
        <f>IF(AND(NC['[D/N']]="D",    NC[T]="CV",    NC[LÍQUIDO BASE] &gt; 0),    TRUNC(NC[LÍQUIDO BASE]*0.01, 2),    0)</f>
        <v>0</v>
      </c>
      <c r="Y77" s="15">
        <f>IF(NC[PREÇO] &gt; 0,    NC[LÍQUIDO BASE]-SUMPRODUCT(N(NC[DATA]=NC[[#This Row],[DATA]]),    NC[IRRF FONTE]),    0)</f>
        <v>959.03</v>
      </c>
      <c r="Z77" s="89">
        <f>NC[LÍQUIDO]-SUMPRODUCT(N(NC[DATA]=NC[[#This Row],[DATA]]),N(NC[ID]=(NC[[#This Row],[ID]]-1)),NC[LÍQUIDO])</f>
        <v>657.16</v>
      </c>
      <c r="AA77" s="87">
        <f>IF(NC[T] = "VC", ABS(NC[VALOR OP]) / NC[QTDE], NC[VALOR OP]/NC[QTDE])</f>
        <v>2.1905333333333332</v>
      </c>
      <c r="AB77" s="87">
        <f>TRUNC(IF(OR(NC[T]="CV",NC[T]="VV"),     N77*SETUP!$H$3,     0),2)</f>
        <v>0.03</v>
      </c>
      <c r="AC77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7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1.5484333333333333</v>
      </c>
      <c r="AE77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2.1905333333333332</v>
      </c>
      <c r="AF77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192.62999999999997</v>
      </c>
      <c r="AG77" s="87">
        <f>IF(NC[LUCRO TMP] &lt;&gt; 0, NC[LUCRO TMP] - SUMPRODUCT(N(NC[ATIVO]=NC[[#This Row],[ATIVO]]),N(NC['[D/N']]="N"),N(NC[ID]&lt;NC[[#This Row],[ID]]),N(NC[PAR]=NC[[#This Row],[PAR]]), NC[LUCRO TMP]), 0)</f>
        <v>192.62999999999997</v>
      </c>
      <c r="AH77" s="87">
        <f>IF(NC[U] = "U", SUMPRODUCT(N(NC[ID]&lt;=NC[[#This Row],[ID]]),N(NC[DATA BASE]=NC[[#This Row],[DATA BASE]]), N(NC['[D/N']] = "N"),    NC[LUCRO P/ OP]), 0)</f>
        <v>-702.5799999999989</v>
      </c>
      <c r="AI77" s="87">
        <f>IF(NC[U] = "U", SUMPRODUCT(N(NC[DATA BASE]=NC[[#This Row],[DATA BASE]]), N(NC['[D/N']] = "D"),    NC[LUCRO P/ OP]), 0)</f>
        <v>183.78</v>
      </c>
      <c r="AJ77" s="87">
        <f>IF(NC[U] = "U", SUMPRODUCT(N(NC[DATA BASE]=NC[[#This Row],[DATA BASE]]), N(NC['[D/N']] = "D"),    NC[IRRF FONTE]), 0)</f>
        <v>3.04</v>
      </c>
    </row>
    <row r="78" spans="1:36" x14ac:dyDescent="0.2">
      <c r="A78" s="13">
        <v>77</v>
      </c>
      <c r="B78" s="85"/>
      <c r="C78" s="85" t="s">
        <v>141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8" s="87">
        <f>NC[QTDE]*NC[PREÇO]</f>
        <v>1020.0000000000001</v>
      </c>
      <c r="O7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-1020.0000000000001</v>
      </c>
      <c r="P7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0.18</v>
      </c>
      <c r="Q7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R7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0.15</v>
      </c>
      <c r="S78" s="87">
        <f>SETUP!$E$3 * IF(NC[PARCIAL] &gt; 0, NC[QTDE] / NC[PARCIAL], 1)</f>
        <v>14.9</v>
      </c>
      <c r="T78" s="87">
        <f>SUMPRODUCT(N(NC[DATA]=NC[[#This Row],[DATA]]),N(NC[ID]&lt;=NC[[#This Row],[ID]]), NC[CORR])</f>
        <v>14.9</v>
      </c>
      <c r="U78" s="87">
        <f>TRUNC(NC[CORRETAGEM]*SETUP!$F$3,2)</f>
        <v>0.28999999999999998</v>
      </c>
      <c r="V78" s="87">
        <f>ROUND(NC[CORRETAGEM]*SETUP!$G$3,2)</f>
        <v>0.57999999999999996</v>
      </c>
      <c r="W78" s="87">
        <f>NC[VALOR LÍQUIDO DAS OPERAÇÕES]-NC[TAXA DE LIQUIDAÇÃO]-NC[EMOLUMENTOS]-NC[TAXA DE REGISTRO]-NC[CORRETAGEM]-NC[ISS]-IF(NC['[D/N']]="D",    0,    NC[OUTRAS BOVESPA]) - NC[AJUSTE]</f>
        <v>-1035.6400000000001</v>
      </c>
      <c r="X78" s="87">
        <f>IF(AND(NC['[D/N']]="D",    NC[T]="CV",    NC[LÍQUIDO BASE] &gt; 0),    TRUNC(NC[LÍQUIDO BASE]*0.01, 2),    0)</f>
        <v>0</v>
      </c>
      <c r="Y78" s="15">
        <f>IF(NC[PREÇO] &gt; 0,    NC[LÍQUIDO BASE]-SUMPRODUCT(N(NC[DATA]=NC[[#This Row],[DATA]]),    NC[IRRF FONTE]),    0)</f>
        <v>-1035.6400000000001</v>
      </c>
      <c r="Z78" s="89">
        <f>NC[LÍQUIDO]-SUMPRODUCT(N(NC[DATA]=NC[[#This Row],[DATA]]),N(NC[ID]=(NC[[#This Row],[ID]]-1)),NC[LÍQUIDO])</f>
        <v>-1035.6400000000001</v>
      </c>
      <c r="AA78" s="87">
        <f>IF(NC[T] = "VC", ABS(NC[VALOR OP]) / NC[QTDE], NC[VALOR OP]/NC[QTDE])</f>
        <v>-0.69042666666666674</v>
      </c>
      <c r="AB78" s="87">
        <f>TRUNC(IF(OR(NC[T]="CV",NC[T]="VV"),     N78*SETUP!$H$3,     0),2)</f>
        <v>0</v>
      </c>
      <c r="AC7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0.69042666666666674</v>
      </c>
      <c r="AE7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8" s="87">
        <f>IF(NC[LUCRO TMP] &lt;&gt; 0, NC[LUCRO TMP] - SUMPRODUCT(N(NC[ATIVO]=NC[[#This Row],[ATIVO]]),N(NC['[D/N']]="N"),N(NC[ID]&lt;NC[[#This Row],[ID]]),N(NC[PAR]=NC[[#This Row],[PAR]]), NC[LUCRO TMP]), 0)</f>
        <v>0</v>
      </c>
      <c r="AH78" s="87">
        <f>IF(NC[U] = "U", SUMPRODUCT(N(NC[ID]&lt;=NC[[#This Row],[ID]]),N(NC[DATA BASE]=NC[[#This Row],[DATA BASE]]), N(NC['[D/N']] = "N"),    NC[LUCRO P/ OP]), 0)</f>
        <v>0</v>
      </c>
      <c r="AI78" s="87">
        <f>IF(NC[U] = "U", SUMPRODUCT(N(NC[DATA BASE]=NC[[#This Row],[DATA BASE]]), N(NC['[D/N']] = "D"),    NC[LUCRO P/ OP]), 0)</f>
        <v>0</v>
      </c>
      <c r="AJ78" s="87">
        <f>IF(NC[U] = "U", SUMPRODUCT(N(NC[DATA BASE]=NC[[#This Row],[DATA BASE]]), N(NC['[D/N']] = "D"),    NC[IRRF FONTE]), 0)</f>
        <v>0</v>
      </c>
    </row>
    <row r="79" spans="1:36" x14ac:dyDescent="0.2">
      <c r="A79" s="13">
        <v>78</v>
      </c>
      <c r="B79" s="85"/>
      <c r="C79" s="85" t="s">
        <v>141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9" s="87">
        <f>NC[QTDE]*NC[PREÇO]</f>
        <v>795</v>
      </c>
      <c r="O79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-225.00000000000011</v>
      </c>
      <c r="P79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0.32</v>
      </c>
      <c r="Q79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79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79" s="87">
        <f>SETUP!$E$3 * IF(NC[PARCIAL] &gt; 0, NC[QTDE] / NC[PARCIAL], 1)</f>
        <v>14.9</v>
      </c>
      <c r="T79" s="87">
        <f>SUMPRODUCT(N(NC[DATA]=NC[[#This Row],[DATA]]),N(NC[ID]&lt;=NC[[#This Row],[ID]]), NC[CORR])</f>
        <v>29.8</v>
      </c>
      <c r="U79" s="87">
        <f>TRUNC(NC[CORRETAGEM]*SETUP!$F$3,2)</f>
        <v>0.59</v>
      </c>
      <c r="V79" s="87">
        <f>ROUND(NC[CORRETAGEM]*SETUP!$G$3,2)</f>
        <v>1.1599999999999999</v>
      </c>
      <c r="W79" s="87">
        <f>NC[VALOR LÍQUIDO DAS OPERAÇÕES]-NC[TAXA DE LIQUIDAÇÃO]-NC[EMOLUMENTOS]-NC[TAXA DE REGISTRO]-NC[CORRETAGEM]-NC[ISS]-IF(NC['[D/N']]="D",    0,    NC[OUTRAS BOVESPA]) - NC[AJUSTE]</f>
        <v>-257.35000000000014</v>
      </c>
      <c r="X79" s="87">
        <f>IF(AND(NC['[D/N']]="D",    NC[T]="CV",    NC[LÍQUIDO BASE] &gt; 0),    TRUNC(NC[LÍQUIDO BASE]*0.01, 2),    0)</f>
        <v>0</v>
      </c>
      <c r="Y79" s="15">
        <f>IF(NC[PREÇO] &gt; 0,    NC[LÍQUIDO BASE]-SUMPRODUCT(N(NC[DATA]=NC[[#This Row],[DATA]]),    NC[IRRF FONTE]),    0)</f>
        <v>-257.35000000000014</v>
      </c>
      <c r="Z79" s="89">
        <f>NC[LÍQUIDO]-SUMPRODUCT(N(NC[DATA]=NC[[#This Row],[DATA]]),N(NC[ID]=(NC[[#This Row],[ID]]-1)),NC[LÍQUIDO])</f>
        <v>778.29</v>
      </c>
      <c r="AA79" s="87">
        <f>IF(NC[T] = "VC", ABS(NC[VALOR OP]) / NC[QTDE], NC[VALOR OP]/NC[QTDE])</f>
        <v>0.51885999999999999</v>
      </c>
      <c r="AB79" s="87">
        <f>TRUNC(IF(OR(NC[T]="CV",NC[T]="VV"),     N79*SETUP!$H$3,     0),2)</f>
        <v>0.03</v>
      </c>
      <c r="AC79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9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0.69042666666666674</v>
      </c>
      <c r="AE79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0.51885999999999999</v>
      </c>
      <c r="AF79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-257.35000000000014</v>
      </c>
      <c r="AG79" s="87">
        <f>IF(NC[LUCRO TMP] &lt;&gt; 0, NC[LUCRO TMP] - SUMPRODUCT(N(NC[ATIVO]=NC[[#This Row],[ATIVO]]),N(NC['[D/N']]="N"),N(NC[ID]&lt;NC[[#This Row],[ID]]),N(NC[PAR]=NC[[#This Row],[PAR]]), NC[LUCRO TMP]), 0)</f>
        <v>-257.35000000000014</v>
      </c>
      <c r="AH79" s="87">
        <f>IF(NC[U] = "U", SUMPRODUCT(N(NC[ID]&lt;=NC[[#This Row],[ID]]),N(NC[DATA BASE]=NC[[#This Row],[DATA BASE]]), N(NC['[D/N']] = "N"),    NC[LUCRO P/ OP]), 0)</f>
        <v>0</v>
      </c>
      <c r="AI79" s="87">
        <f>IF(NC[U] = "U", SUMPRODUCT(N(NC[DATA BASE]=NC[[#This Row],[DATA BASE]]), N(NC['[D/N']] = "D"),    NC[LUCRO P/ OP]), 0)</f>
        <v>0</v>
      </c>
      <c r="AJ79" s="87">
        <f>IF(NC[U] = "U", SUMPRODUCT(N(NC[DATA BASE]=NC[[#This Row],[DATA BASE]]), N(NC['[D/N']] = "D"),    NC[IRRF FONTE]), 0)</f>
        <v>0</v>
      </c>
    </row>
    <row r="80" spans="1:36" x14ac:dyDescent="0.2">
      <c r="A80" s="13">
        <v>79</v>
      </c>
      <c r="B80" s="85"/>
      <c r="C80" s="85" t="s">
        <v>142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0" s="87">
        <f>NC[QTDE]*NC[PREÇO]</f>
        <v>690</v>
      </c>
      <c r="O8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-690</v>
      </c>
      <c r="P8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8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R8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S80" s="87">
        <f>SETUP!$E$3 * IF(NC[PARCIAL] &gt; 0, NC[QTDE] / NC[PARCIAL], 1)</f>
        <v>14.9</v>
      </c>
      <c r="T80" s="87">
        <f>SUMPRODUCT(N(NC[DATA]=NC[[#This Row],[DATA]]),N(NC[ID]&lt;=NC[[#This Row],[ID]]), NC[CORR])</f>
        <v>14.9</v>
      </c>
      <c r="U80" s="87">
        <f>TRUNC(NC[CORRETAGEM]*SETUP!$F$3,2)</f>
        <v>0.28999999999999998</v>
      </c>
      <c r="V80" s="87">
        <f>ROUND(NC[CORRETAGEM]*SETUP!$G$3,2)</f>
        <v>0.57999999999999996</v>
      </c>
      <c r="W80" s="87">
        <f>NC[VALOR LÍQUIDO DAS OPERAÇÕES]-NC[TAXA DE LIQUIDAÇÃO]-NC[EMOLUMENTOS]-NC[TAXA DE REGISTRO]-NC[CORRETAGEM]-NC[ISS]-IF(NC['[D/N']]="D",    0,    NC[OUTRAS BOVESPA]) - NC[AJUSTE]</f>
        <v>-705.49</v>
      </c>
      <c r="X80" s="87">
        <f>IF(AND(NC['[D/N']]="D",    NC[T]="CV",    NC[LÍQUIDO BASE] &gt; 0),    TRUNC(NC[LÍQUIDO BASE]*0.01, 2),    0)</f>
        <v>0</v>
      </c>
      <c r="Y80" s="15">
        <f>IF(NC[PREÇO] &gt; 0,    NC[LÍQUIDO BASE]-SUMPRODUCT(N(NC[DATA]=NC[[#This Row],[DATA]]),    NC[IRRF FONTE]),    0)</f>
        <v>-705.49</v>
      </c>
      <c r="Z80" s="89">
        <f>NC[LÍQUIDO]-SUMPRODUCT(N(NC[DATA]=NC[[#This Row],[DATA]]),N(NC[ID]=(NC[[#This Row],[ID]]-1)),NC[LÍQUIDO])</f>
        <v>-705.49</v>
      </c>
      <c r="AA80" s="87">
        <f>IF(NC[T] = "VC", ABS(NC[VALOR OP]) / NC[QTDE], NC[VALOR OP]/NC[QTDE])</f>
        <v>-0.30673478260869563</v>
      </c>
      <c r="AB80" s="87">
        <f>TRUNC(IF(OR(NC[T]="CV",NC[T]="VV"),     N80*SETUP!$H$3,     0),2)</f>
        <v>0</v>
      </c>
      <c r="AC8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0.30673478260869563</v>
      </c>
      <c r="AE8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0" s="87">
        <f>IF(NC[LUCRO TMP] &lt;&gt; 0, NC[LUCRO TMP] - SUMPRODUCT(N(NC[ATIVO]=NC[[#This Row],[ATIVO]]),N(NC['[D/N']]="N"),N(NC[ID]&lt;NC[[#This Row],[ID]]),N(NC[PAR]=NC[[#This Row],[PAR]]), NC[LUCRO TMP]), 0)</f>
        <v>0</v>
      </c>
      <c r="AH80" s="87">
        <f>IF(NC[U] = "U", SUMPRODUCT(N(NC[ID]&lt;=NC[[#This Row],[ID]]),N(NC[DATA BASE]=NC[[#This Row],[DATA BASE]]), N(NC['[D/N']] = "N"),    NC[LUCRO P/ OP]), 0)</f>
        <v>0</v>
      </c>
      <c r="AI80" s="87">
        <f>IF(NC[U] = "U", SUMPRODUCT(N(NC[DATA BASE]=NC[[#This Row],[DATA BASE]]), N(NC['[D/N']] = "D"),    NC[LUCRO P/ OP]), 0)</f>
        <v>0</v>
      </c>
      <c r="AJ80" s="87">
        <f>IF(NC[U] = "U", SUMPRODUCT(N(NC[DATA BASE]=NC[[#This Row],[DATA BASE]]), N(NC['[D/N']] = "D"),    NC[IRRF FONTE]), 0)</f>
        <v>0</v>
      </c>
    </row>
    <row r="81" spans="1:36" x14ac:dyDescent="0.2">
      <c r="A81" s="13">
        <v>80</v>
      </c>
      <c r="B81" s="85" t="s">
        <v>49</v>
      </c>
      <c r="C81" s="85" t="s">
        <v>142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1" s="87">
        <f>NC[QTDE]*NC[PREÇO]</f>
        <v>483</v>
      </c>
      <c r="O8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-207</v>
      </c>
      <c r="P8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Q8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8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0.17</v>
      </c>
      <c r="S81" s="87">
        <f>SETUP!$E$3 * IF(NC[PARCIAL] &gt; 0, NC[QTDE] / NC[PARCIAL], 1)</f>
        <v>14.9</v>
      </c>
      <c r="T81" s="87">
        <f>SUMPRODUCT(N(NC[DATA]=NC[[#This Row],[DATA]]),N(NC[ID]&lt;=NC[[#This Row],[ID]]), NC[CORR])</f>
        <v>29.8</v>
      </c>
      <c r="U81" s="87">
        <f>TRUNC(NC[CORRETAGEM]*SETUP!$F$3,2)</f>
        <v>0.59</v>
      </c>
      <c r="V81" s="87">
        <f>ROUND(NC[CORRETAGEM]*SETUP!$G$3,2)</f>
        <v>1.1599999999999999</v>
      </c>
      <c r="W81" s="87">
        <f>NC[VALOR LÍQUIDO DAS OPERAÇÕES]-NC[TAXA DE LIQUIDAÇÃO]-NC[EMOLUMENTOS]-NC[TAXA DE REGISTRO]-NC[CORRETAGEM]-NC[ISS]-IF(NC['[D/N']]="D",    0,    NC[OUTRAS BOVESPA]) - NC[AJUSTE]</f>
        <v>-237.91</v>
      </c>
      <c r="X81" s="87">
        <f>IF(AND(NC['[D/N']]="D",    NC[T]="CV",    NC[LÍQUIDO BASE] &gt; 0),    TRUNC(NC[LÍQUIDO BASE]*0.01, 2),    0)</f>
        <v>0</v>
      </c>
      <c r="Y81" s="15">
        <f>IF(NC[PREÇO] &gt; 0,    NC[LÍQUIDO BASE]-SUMPRODUCT(N(NC[DATA]=NC[[#This Row],[DATA]]),    NC[IRRF FONTE]),    0)</f>
        <v>-237.91</v>
      </c>
      <c r="Z81" s="89">
        <f>NC[LÍQUIDO]-SUMPRODUCT(N(NC[DATA]=NC[[#This Row],[DATA]]),N(NC[ID]=(NC[[#This Row],[ID]]-1)),NC[LÍQUIDO])</f>
        <v>467.58000000000004</v>
      </c>
      <c r="AA81" s="87">
        <f>IF(NC[T] = "VC", ABS(NC[VALOR OP]) / NC[QTDE], NC[VALOR OP]/NC[QTDE])</f>
        <v>0.20329565217391307</v>
      </c>
      <c r="AB81" s="87">
        <f>TRUNC(IF(OR(NC[T]="CV",NC[T]="VV"),     N81*SETUP!$H$3,     0),2)</f>
        <v>0.02</v>
      </c>
      <c r="AC8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0.30673478260869563</v>
      </c>
      <c r="AE8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0.20329565217391307</v>
      </c>
      <c r="AF8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-237.90999999999988</v>
      </c>
      <c r="AG81" s="87">
        <f>IF(NC[LUCRO TMP] &lt;&gt; 0, NC[LUCRO TMP] - SUMPRODUCT(N(NC[ATIVO]=NC[[#This Row],[ATIVO]]),N(NC['[D/N']]="N"),N(NC[ID]&lt;NC[[#This Row],[ID]]),N(NC[PAR]=NC[[#This Row],[PAR]]), NC[LUCRO TMP]), 0)</f>
        <v>-237.90999999999988</v>
      </c>
      <c r="AH81" s="87">
        <f>IF(NC[U] = "U", SUMPRODUCT(N(NC[ID]&lt;=NC[[#This Row],[ID]]),N(NC[DATA BASE]=NC[[#This Row],[DATA BASE]]), N(NC['[D/N']] = "N"),    NC[LUCRO P/ OP]), 0)</f>
        <v>0</v>
      </c>
      <c r="AI81" s="87">
        <f>IF(NC[U] = "U", SUMPRODUCT(N(NC[DATA BASE]=NC[[#This Row],[DATA BASE]]), N(NC['[D/N']] = "D"),    NC[LUCRO P/ OP]), 0)</f>
        <v>-652.46999999999991</v>
      </c>
      <c r="AJ81" s="87">
        <f>IF(NC[U] = "U", SUMPRODUCT(N(NC[DATA BASE]=NC[[#This Row],[DATA BASE]]), N(NC['[D/N']] = "D"),    NC[IRRF FONTE]), 0)</f>
        <v>0</v>
      </c>
    </row>
    <row r="82" spans="1:36" x14ac:dyDescent="0.2">
      <c r="A82" s="13">
        <v>81</v>
      </c>
      <c r="B82" s="85"/>
      <c r="C82" s="85" t="s">
        <v>143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2" s="87">
        <f>NC[QTDE]*NC[PREÇO]</f>
        <v>1900</v>
      </c>
      <c r="O82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-1900</v>
      </c>
      <c r="P82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82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R82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0.28000000000000003</v>
      </c>
      <c r="S82" s="87">
        <f>SETUP!$E$3 * IF(NC[PARCIAL] &gt; 0, NC[QTDE] / NC[PARCIAL], 1)</f>
        <v>14.9</v>
      </c>
      <c r="T82" s="87">
        <f>SUMPRODUCT(N(NC[DATA]=NC[[#This Row],[DATA]]),N(NC[ID]&lt;=NC[[#This Row],[ID]]), NC[CORR])</f>
        <v>14.9</v>
      </c>
      <c r="U82" s="87">
        <f>TRUNC(NC[CORRETAGEM]*SETUP!$F$3,2)</f>
        <v>0.28999999999999998</v>
      </c>
      <c r="V82" s="87">
        <f>ROUND(NC[CORRETAGEM]*SETUP!$G$3,2)</f>
        <v>0.57999999999999996</v>
      </c>
      <c r="W82" s="87">
        <f>NC[VALOR LÍQUIDO DAS OPERAÇÕES]-NC[TAXA DE LIQUIDAÇÃO]-NC[EMOLUMENTOS]-NC[TAXA DE REGISTRO]-NC[CORRETAGEM]-NC[ISS]-IF(NC['[D/N']]="D",    0,    NC[OUTRAS BOVESPA]) - NC[AJUSTE]</f>
        <v>-1916.03</v>
      </c>
      <c r="X82" s="87">
        <f>IF(AND(NC['[D/N']]="D",    NC[T]="CV",    NC[LÍQUIDO BASE] &gt; 0),    TRUNC(NC[LÍQUIDO BASE]*0.01, 2),    0)</f>
        <v>0</v>
      </c>
      <c r="Y82" s="15">
        <f>IF(NC[PREÇO] &gt; 0,    NC[LÍQUIDO BASE]-SUMPRODUCT(N(NC[DATA]=NC[[#This Row],[DATA]]),    NC[IRRF FONTE]),    0)</f>
        <v>-1916.03</v>
      </c>
      <c r="Z82" s="89">
        <f>NC[LÍQUIDO]-SUMPRODUCT(N(NC[DATA]=NC[[#This Row],[DATA]]),N(NC[ID]=(NC[[#This Row],[ID]]-1)),NC[LÍQUIDO])</f>
        <v>-1916.03</v>
      </c>
      <c r="AA82" s="87">
        <f>IF(NC[T] = "VC", ABS(NC[VALOR OP]) / NC[QTDE], NC[VALOR OP]/NC[QTDE])</f>
        <v>-0.191603</v>
      </c>
      <c r="AB82" s="87">
        <f>TRUNC(IF(OR(NC[T]="CV",NC[T]="VV"),     N82*SETUP!$H$3,     0),2)</f>
        <v>0</v>
      </c>
      <c r="AC82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2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0.191603</v>
      </c>
      <c r="AE82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2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2" s="87">
        <f>IF(NC[LUCRO TMP] &lt;&gt; 0, NC[LUCRO TMP] - SUMPRODUCT(N(NC[ATIVO]=NC[[#This Row],[ATIVO]]),N(NC['[D/N']]="N"),N(NC[ID]&lt;NC[[#This Row],[ID]]),N(NC[PAR]=NC[[#This Row],[PAR]]), NC[LUCRO TMP]), 0)</f>
        <v>0</v>
      </c>
      <c r="AH82" s="87">
        <f>IF(NC[U] = "U", SUMPRODUCT(N(NC[ID]&lt;=NC[[#This Row],[ID]]),N(NC[DATA BASE]=NC[[#This Row],[DATA BASE]]), N(NC['[D/N']] = "N"),    NC[LUCRO P/ OP]), 0)</f>
        <v>0</v>
      </c>
      <c r="AI82" s="87">
        <f>IF(NC[U] = "U", SUMPRODUCT(N(NC[DATA BASE]=NC[[#This Row],[DATA BASE]]), N(NC['[D/N']] = "D"),    NC[LUCRO P/ OP]), 0)</f>
        <v>0</v>
      </c>
      <c r="AJ82" s="87">
        <f>IF(NC[U] = "U", SUMPRODUCT(N(NC[DATA BASE]=NC[[#This Row],[DATA BASE]]), N(NC['[D/N']] = "D"),    NC[IRRF FONTE]), 0)</f>
        <v>0</v>
      </c>
    </row>
    <row r="83" spans="1:36" x14ac:dyDescent="0.2">
      <c r="A83" s="13">
        <v>82</v>
      </c>
      <c r="B83" s="85"/>
      <c r="C83" s="85" t="s">
        <v>143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3" s="87">
        <f>NC[QTDE]*NC[PREÇO]</f>
        <v>1900</v>
      </c>
      <c r="O83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83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0.68</v>
      </c>
      <c r="Q83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0.45</v>
      </c>
      <c r="R83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0.56999999999999995</v>
      </c>
      <c r="S83" s="87">
        <f>SETUP!$E$3 * IF(NC[PARCIAL] &gt; 0, NC[QTDE] / NC[PARCIAL], 1)</f>
        <v>14.9</v>
      </c>
      <c r="T83" s="87">
        <f>SUMPRODUCT(N(NC[DATA]=NC[[#This Row],[DATA]]),N(NC[ID]&lt;=NC[[#This Row],[ID]]), NC[CORR])</f>
        <v>29.8</v>
      </c>
      <c r="U83" s="87">
        <f>TRUNC(NC[CORRETAGEM]*SETUP!$F$3,2)</f>
        <v>0.59</v>
      </c>
      <c r="V83" s="87">
        <f>ROUND(NC[CORRETAGEM]*SETUP!$G$3,2)</f>
        <v>1.1599999999999999</v>
      </c>
      <c r="W83" s="87">
        <f>NC[VALOR LÍQUIDO DAS OPERAÇÕES]-NC[TAXA DE LIQUIDAÇÃO]-NC[EMOLUMENTOS]-NC[TAXA DE REGISTRO]-NC[CORRETAGEM]-NC[ISS]-IF(NC['[D/N']]="D",    0,    NC[OUTRAS BOVESPA]) - NC[AJUSTE]</f>
        <v>-32.090000000000003</v>
      </c>
      <c r="X83" s="87">
        <f>IF(AND(NC['[D/N']]="D",    NC[T]="CV",    NC[LÍQUIDO BASE] &gt; 0),    TRUNC(NC[LÍQUIDO BASE]*0.01, 2),    0)</f>
        <v>0</v>
      </c>
      <c r="Y83" s="15">
        <f>IF(NC[PREÇO] &gt; 0,    NC[LÍQUIDO BASE]-SUMPRODUCT(N(NC[DATA]=NC[[#This Row],[DATA]]),    NC[IRRF FONTE]),    0)</f>
        <v>-32.090000000000003</v>
      </c>
      <c r="Z83" s="89">
        <f>NC[LÍQUIDO]-SUMPRODUCT(N(NC[DATA]=NC[[#This Row],[DATA]]),N(NC[ID]=(NC[[#This Row],[ID]]-1)),NC[LÍQUIDO])</f>
        <v>1883.94</v>
      </c>
      <c r="AA83" s="87">
        <f>IF(NC[T] = "VC", ABS(NC[VALOR OP]) / NC[QTDE], NC[VALOR OP]/NC[QTDE])</f>
        <v>0.18839400000000001</v>
      </c>
      <c r="AB83" s="87">
        <f>TRUNC(IF(OR(NC[T]="CV",NC[T]="VV"),     N83*SETUP!$H$3,     0),2)</f>
        <v>0.09</v>
      </c>
      <c r="AC83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3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0.191603</v>
      </c>
      <c r="AE83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0.18839400000000001</v>
      </c>
      <c r="AF83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-32.089999999999897</v>
      </c>
      <c r="AG83" s="87">
        <f>IF(NC[LUCRO TMP] &lt;&gt; 0, NC[LUCRO TMP] - SUMPRODUCT(N(NC[ATIVO]=NC[[#This Row],[ATIVO]]),N(NC['[D/N']]="N"),N(NC[ID]&lt;NC[[#This Row],[ID]]),N(NC[PAR]=NC[[#This Row],[PAR]]), NC[LUCRO TMP]), 0)</f>
        <v>-32.089999999999897</v>
      </c>
      <c r="AH83" s="87">
        <f>IF(NC[U] = "U", SUMPRODUCT(N(NC[ID]&lt;=NC[[#This Row],[ID]]),N(NC[DATA BASE]=NC[[#This Row],[DATA BASE]]), N(NC['[D/N']] = "N"),    NC[LUCRO P/ OP]), 0)</f>
        <v>0</v>
      </c>
      <c r="AI83" s="87">
        <f>IF(NC[U] = "U", SUMPRODUCT(N(NC[DATA BASE]=NC[[#This Row],[DATA BASE]]), N(NC['[D/N']] = "D"),    NC[LUCRO P/ OP]), 0)</f>
        <v>0</v>
      </c>
      <c r="AJ83" s="87">
        <f>IF(NC[U] = "U", SUMPRODUCT(N(NC[DATA BASE]=NC[[#This Row],[DATA BASE]]), N(NC['[D/N']] = "D"),    NC[IRRF FONTE]), 0)</f>
        <v>0</v>
      </c>
    </row>
    <row r="84" spans="1:36" x14ac:dyDescent="0.2">
      <c r="A84" s="13">
        <v>83</v>
      </c>
      <c r="B84" s="85"/>
      <c r="C84" s="85" t="s">
        <v>144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4" s="87">
        <f>NC[QTDE]*NC[PREÇO]</f>
        <v>1953</v>
      </c>
      <c r="O8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-1953</v>
      </c>
      <c r="P8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1.03</v>
      </c>
      <c r="Q8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0.69</v>
      </c>
      <c r="R8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0.86</v>
      </c>
      <c r="S84" s="87">
        <f>SETUP!$E$3 * IF(NC[PARCIAL] &gt; 0, NC[QTDE] / NC[PARCIAL], 1)</f>
        <v>14.9</v>
      </c>
      <c r="T84" s="87">
        <f>SUMPRODUCT(N(NC[DATA]=NC[[#This Row],[DATA]]),N(NC[ID]&lt;=NC[[#This Row],[ID]]), NC[CORR])</f>
        <v>44.7</v>
      </c>
      <c r="U84" s="87">
        <f>TRUNC(NC[CORRETAGEM]*SETUP!$F$3,2)</f>
        <v>0.89</v>
      </c>
      <c r="V84" s="87">
        <f>ROUND(NC[CORRETAGEM]*SETUP!$G$3,2)</f>
        <v>1.74</v>
      </c>
      <c r="W84" s="87">
        <f>NC[VALOR LÍQUIDO DAS OPERAÇÕES]-NC[TAXA DE LIQUIDAÇÃO]-NC[EMOLUMENTOS]-NC[TAXA DE REGISTRO]-NC[CORRETAGEM]-NC[ISS]-IF(NC['[D/N']]="D",    0,    NC[OUTRAS BOVESPA]) - NC[AJUSTE]</f>
        <v>-2001.17</v>
      </c>
      <c r="X84" s="87">
        <f>IF(AND(NC['[D/N']]="D",    NC[T]="CV",    NC[LÍQUIDO BASE] &gt; 0),    TRUNC(NC[LÍQUIDO BASE]*0.01, 2),    0)</f>
        <v>0</v>
      </c>
      <c r="Y84" s="15">
        <f>IF(NC[PREÇO] &gt; 0,    NC[LÍQUIDO BASE]-SUMPRODUCT(N(NC[DATA]=NC[[#This Row],[DATA]]),    NC[IRRF FONTE]),    0)</f>
        <v>-2001.17</v>
      </c>
      <c r="Z84" s="89">
        <f>NC[LÍQUIDO]-SUMPRODUCT(N(NC[DATA]=NC[[#This Row],[DATA]]),N(NC[ID]=(NC[[#This Row],[ID]]-1)),NC[LÍQUIDO])</f>
        <v>-1969.0800000000002</v>
      </c>
      <c r="AA84" s="87">
        <f>IF(NC[T] = "VC", ABS(NC[VALOR OP]) / NC[QTDE], NC[VALOR OP]/NC[QTDE])</f>
        <v>-0.21172903225806453</v>
      </c>
      <c r="AB84" s="87">
        <f>TRUNC(IF(OR(NC[T]="CV",NC[T]="VV"),     N84*SETUP!$H$3,     0),2)</f>
        <v>0</v>
      </c>
      <c r="AC8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0.21172903225806453</v>
      </c>
      <c r="AE8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4" s="87">
        <f>IF(NC[LUCRO TMP] &lt;&gt; 0, NC[LUCRO TMP] - SUMPRODUCT(N(NC[ATIVO]=NC[[#This Row],[ATIVO]]),N(NC['[D/N']]="N"),N(NC[ID]&lt;NC[[#This Row],[ID]]),N(NC[PAR]=NC[[#This Row],[PAR]]), NC[LUCRO TMP]), 0)</f>
        <v>0</v>
      </c>
      <c r="AH84" s="87">
        <f>IF(NC[U] = "U", SUMPRODUCT(N(NC[ID]&lt;=NC[[#This Row],[ID]]),N(NC[DATA BASE]=NC[[#This Row],[DATA BASE]]), N(NC['[D/N']] = "N"),    NC[LUCRO P/ OP]), 0)</f>
        <v>0</v>
      </c>
      <c r="AI84" s="87">
        <f>IF(NC[U] = "U", SUMPRODUCT(N(NC[DATA BASE]=NC[[#This Row],[DATA BASE]]), N(NC['[D/N']] = "D"),    NC[LUCRO P/ OP]), 0)</f>
        <v>0</v>
      </c>
      <c r="AJ84" s="87">
        <f>IF(NC[U] = "U", SUMPRODUCT(N(NC[DATA BASE]=NC[[#This Row],[DATA BASE]]), N(NC['[D/N']] = "D"),    NC[IRRF FONTE]), 0)</f>
        <v>0</v>
      </c>
    </row>
    <row r="85" spans="1:36" x14ac:dyDescent="0.2">
      <c r="A85" s="13">
        <v>84</v>
      </c>
      <c r="B85" s="85"/>
      <c r="C85" s="85" t="s">
        <v>144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5" s="87">
        <f>NC[QTDE]*NC[PREÇO]</f>
        <v>1860</v>
      </c>
      <c r="O85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-93</v>
      </c>
      <c r="P85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1.37</v>
      </c>
      <c r="Q85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0.91</v>
      </c>
      <c r="R85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1.1399999999999999</v>
      </c>
      <c r="S85" s="87">
        <f>SETUP!$E$3 * IF(NC[PARCIAL] &gt; 0, NC[QTDE] / NC[PARCIAL], 1)</f>
        <v>14.9</v>
      </c>
      <c r="T85" s="87">
        <f>SUMPRODUCT(N(NC[DATA]=NC[[#This Row],[DATA]]),N(NC[ID]&lt;=NC[[#This Row],[ID]]), NC[CORR])</f>
        <v>59.6</v>
      </c>
      <c r="U85" s="87">
        <f>TRUNC(NC[CORRETAGEM]*SETUP!$F$3,2)</f>
        <v>1.19</v>
      </c>
      <c r="V85" s="87">
        <f>ROUND(NC[CORRETAGEM]*SETUP!$G$3,2)</f>
        <v>2.3199999999999998</v>
      </c>
      <c r="W85" s="87">
        <f>NC[VALOR LÍQUIDO DAS OPERAÇÕES]-NC[TAXA DE LIQUIDAÇÃO]-NC[EMOLUMENTOS]-NC[TAXA DE REGISTRO]-NC[CORRETAGEM]-NC[ISS]-IF(NC['[D/N']]="D",    0,    NC[OUTRAS BOVESPA]) - NC[AJUSTE]</f>
        <v>-157.21</v>
      </c>
      <c r="X85" s="87">
        <f>IF(AND(NC['[D/N']]="D",    NC[T]="CV",    NC[LÍQUIDO BASE] &gt; 0),    TRUNC(NC[LÍQUIDO BASE]*0.01, 2),    0)</f>
        <v>0</v>
      </c>
      <c r="Y85" s="15">
        <f>IF(NC[PREÇO] &gt; 0,    NC[LÍQUIDO BASE]-SUMPRODUCT(N(NC[DATA]=NC[[#This Row],[DATA]]),    NC[IRRF FONTE]),    0)</f>
        <v>-157.21</v>
      </c>
      <c r="Z85" s="89">
        <f>NC[LÍQUIDO]-SUMPRODUCT(N(NC[DATA]=NC[[#This Row],[DATA]]),N(NC[ID]=(NC[[#This Row],[ID]]-1)),NC[LÍQUIDO])</f>
        <v>1843.96</v>
      </c>
      <c r="AA85" s="87">
        <f>IF(NC[T] = "VC", ABS(NC[VALOR OP]) / NC[QTDE], NC[VALOR OP]/NC[QTDE])</f>
        <v>0.19827526881720431</v>
      </c>
      <c r="AB85" s="87">
        <f>TRUNC(IF(OR(NC[T]="CV",NC[T]="VV"),     N85*SETUP!$H$3,     0),2)</f>
        <v>0.09</v>
      </c>
      <c r="AC85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5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0.21172903225806453</v>
      </c>
      <c r="AE85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0.19827526881720431</v>
      </c>
      <c r="AF85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-125.12000000000002</v>
      </c>
      <c r="AG85" s="87">
        <f>IF(NC[LUCRO TMP] &lt;&gt; 0, NC[LUCRO TMP] - SUMPRODUCT(N(NC[ATIVO]=NC[[#This Row],[ATIVO]]),N(NC['[D/N']]="N"),N(NC[ID]&lt;NC[[#This Row],[ID]]),N(NC[PAR]=NC[[#This Row],[PAR]]), NC[LUCRO TMP]), 0)</f>
        <v>-125.12000000000002</v>
      </c>
      <c r="AH85" s="87">
        <f>IF(NC[U] = "U", SUMPRODUCT(N(NC[ID]&lt;=NC[[#This Row],[ID]]),N(NC[DATA BASE]=NC[[#This Row],[DATA BASE]]), N(NC['[D/N']] = "N"),    NC[LUCRO P/ OP]), 0)</f>
        <v>0</v>
      </c>
      <c r="AI85" s="87">
        <f>IF(NC[U] = "U", SUMPRODUCT(N(NC[DATA BASE]=NC[[#This Row],[DATA BASE]]), N(NC['[D/N']] = "D"),    NC[LUCRO P/ OP]), 0)</f>
        <v>0</v>
      </c>
      <c r="AJ85" s="87">
        <f>IF(NC[U] = "U", SUMPRODUCT(N(NC[DATA BASE]=NC[[#This Row],[DATA BASE]]), N(NC['[D/N']] = "D"),    NC[IRRF FONTE]), 0)</f>
        <v>0</v>
      </c>
    </row>
    <row r="86" spans="1:36" x14ac:dyDescent="0.2">
      <c r="A86" s="13">
        <v>85</v>
      </c>
      <c r="B86" s="85"/>
      <c r="C86" s="85" t="s">
        <v>145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6" s="87">
        <f>NC[QTDE]*NC[PREÇO]</f>
        <v>1870</v>
      </c>
      <c r="O86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-1963</v>
      </c>
      <c r="P86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1.88</v>
      </c>
      <c r="Q86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1.6</v>
      </c>
      <c r="R86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2.44</v>
      </c>
      <c r="S86" s="87">
        <f>SETUP!$E$3 * IF(NC[PARCIAL] &gt; 0, NC[QTDE] / NC[PARCIAL], 1)</f>
        <v>14.9</v>
      </c>
      <c r="T86" s="87">
        <f>SUMPRODUCT(N(NC[DATA]=NC[[#This Row],[DATA]]),N(NC[ID]&lt;=NC[[#This Row],[ID]]), NC[CORR])</f>
        <v>74.5</v>
      </c>
      <c r="U86" s="87">
        <f>TRUNC(NC[CORRETAGEM]*SETUP!$F$3,2)</f>
        <v>1.49</v>
      </c>
      <c r="V86" s="87">
        <f>ROUND(NC[CORRETAGEM]*SETUP!$G$3,2)</f>
        <v>2.91</v>
      </c>
      <c r="W86" s="87">
        <f>NC[VALOR LÍQUIDO DAS OPERAÇÕES]-NC[TAXA DE LIQUIDAÇÃO]-NC[EMOLUMENTOS]-NC[TAXA DE REGISTRO]-NC[CORRETAGEM]-NC[ISS]-IF(NC['[D/N']]="D",    0,    NC[OUTRAS BOVESPA]) - NC[AJUSTE]</f>
        <v>-2047.8000000000002</v>
      </c>
      <c r="X86" s="87">
        <f>IF(AND(NC['[D/N']]="D",    NC[T]="CV",    NC[LÍQUIDO BASE] &gt; 0),    TRUNC(NC[LÍQUIDO BASE]*0.01, 2),    0)</f>
        <v>0</v>
      </c>
      <c r="Y86" s="15">
        <f>IF(NC[PREÇO] &gt; 0,    NC[LÍQUIDO BASE]-SUMPRODUCT(N(NC[DATA]=NC[[#This Row],[DATA]]),    NC[IRRF FONTE]),    0)</f>
        <v>-2047.8000000000002</v>
      </c>
      <c r="Z86" s="89">
        <f>NC[LÍQUIDO]-SUMPRODUCT(N(NC[DATA]=NC[[#This Row],[DATA]]),N(NC[ID]=(NC[[#This Row],[ID]]-1)),NC[LÍQUIDO])</f>
        <v>-1890.5900000000001</v>
      </c>
      <c r="AA86" s="87">
        <f>IF(NC[T] = "VC", ABS(NC[VALOR OP]) / NC[QTDE], NC[VALOR OP]/NC[QTDE])</f>
        <v>-0.22242235294117649</v>
      </c>
      <c r="AB86" s="87">
        <f>TRUNC(IF(OR(NC[T]="CV",NC[T]="VV"),     N86*SETUP!$H$3,     0),2)</f>
        <v>0</v>
      </c>
      <c r="AC86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8500</v>
      </c>
      <c r="AD86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0.22242235294117649</v>
      </c>
      <c r="AE86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6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6" s="87">
        <f>IF(NC[LUCRO TMP] &lt;&gt; 0, NC[LUCRO TMP] - SUMPRODUCT(N(NC[ATIVO]=NC[[#This Row],[ATIVO]]),N(NC['[D/N']]="N"),N(NC[ID]&lt;NC[[#This Row],[ID]]),N(NC[PAR]=NC[[#This Row],[PAR]]), NC[LUCRO TMP]), 0)</f>
        <v>0</v>
      </c>
      <c r="AH86" s="87">
        <f>IF(NC[U] = "U", SUMPRODUCT(N(NC[ID]&lt;=NC[[#This Row],[ID]]),N(NC[DATA BASE]=NC[[#This Row],[DATA BASE]]), N(NC['[D/N']] = "N"),    NC[LUCRO P/ OP]), 0)</f>
        <v>0</v>
      </c>
      <c r="AI86" s="87">
        <f>IF(NC[U] = "U", SUMPRODUCT(N(NC[DATA BASE]=NC[[#This Row],[DATA BASE]]), N(NC['[D/N']] = "D"),    NC[LUCRO P/ OP]), 0)</f>
        <v>0</v>
      </c>
      <c r="AJ86" s="87">
        <f>IF(NC[U] = "U", SUMPRODUCT(N(NC[DATA BASE]=NC[[#This Row],[DATA BASE]]), N(NC['[D/N']] = "D"),    NC[IRRF FONTE]), 0)</f>
        <v>0</v>
      </c>
    </row>
    <row r="87" spans="1:36" x14ac:dyDescent="0.2">
      <c r="A87" s="13">
        <v>86</v>
      </c>
      <c r="B87" s="85"/>
      <c r="C87" s="85" t="s">
        <v>146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7" s="87">
        <f>NC[QTDE]*NC[PREÇO]</f>
        <v>396</v>
      </c>
      <c r="O87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-396</v>
      </c>
      <c r="P87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</v>
      </c>
      <c r="Q87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87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87" s="87">
        <f>SETUP!$E$3 * IF(NC[PARCIAL] &gt; 0, NC[QTDE] / NC[PARCIAL], 1)</f>
        <v>14.9</v>
      </c>
      <c r="T87" s="87">
        <f>SUMPRODUCT(N(NC[DATA]=NC[[#This Row],[DATA]]),N(NC[ID]&lt;=NC[[#This Row],[ID]]), NC[CORR])</f>
        <v>14.9</v>
      </c>
      <c r="U87" s="87">
        <f>TRUNC(NC[CORRETAGEM]*SETUP!$F$3,2)</f>
        <v>0.28999999999999998</v>
      </c>
      <c r="V87" s="87">
        <f>ROUND(NC[CORRETAGEM]*SETUP!$G$3,2)</f>
        <v>0.57999999999999996</v>
      </c>
      <c r="W87" s="87">
        <f>NC[VALOR LÍQUIDO DAS OPERAÇÕES]-NC[TAXA DE LIQUIDAÇÃO]-NC[EMOLUMENTOS]-NC[TAXA DE REGISTRO]-NC[CORRETAGEM]-NC[ISS]-IF(NC['[D/N']]="D",    0,    NC[OUTRAS BOVESPA]) - NC[AJUSTE]</f>
        <v>-412.28</v>
      </c>
      <c r="X87" s="87">
        <f>IF(AND(NC['[D/N']]="D",    NC[T]="CV",    NC[LÍQUIDO BASE] &gt; 0),    TRUNC(NC[LÍQUIDO BASE]*0.01, 2),    0)</f>
        <v>0</v>
      </c>
      <c r="Y87" s="15">
        <f>IF(NC[PREÇO] &gt; 0,    NC[LÍQUIDO BASE]-SUMPRODUCT(N(NC[DATA]=NC[[#This Row],[DATA]]),    NC[IRRF FONTE]),    0)</f>
        <v>-412.28</v>
      </c>
      <c r="Z87" s="89">
        <f>NC[LÍQUIDO]-SUMPRODUCT(N(NC[DATA]=NC[[#This Row],[DATA]]),N(NC[ID]=(NC[[#This Row],[ID]]-1)),NC[LÍQUIDO])</f>
        <v>-412.28</v>
      </c>
      <c r="AA87" s="87">
        <f>IF(NC[T] = "VC", ABS(NC[VALOR OP]) / NC[QTDE], NC[VALOR OP]/NC[QTDE])</f>
        <v>-0.37479999999999997</v>
      </c>
      <c r="AB87" s="87">
        <f>TRUNC(IF(OR(NC[T]="CV",NC[T]="VV"),     N87*SETUP!$H$3,     0),2)</f>
        <v>0</v>
      </c>
      <c r="AC87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1100</v>
      </c>
      <c r="AD87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0.37479999999999997</v>
      </c>
      <c r="AE87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7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7" s="87">
        <f>IF(NC[LUCRO TMP] &lt;&gt; 0, NC[LUCRO TMP] - SUMPRODUCT(N(NC[ATIVO]=NC[[#This Row],[ATIVO]]),N(NC['[D/N']]="N"),N(NC[ID]&lt;NC[[#This Row],[ID]]),N(NC[PAR]=NC[[#This Row],[PAR]]), NC[LUCRO TMP]), 0)</f>
        <v>0</v>
      </c>
      <c r="AH87" s="87">
        <f>IF(NC[U] = "U", SUMPRODUCT(N(NC[ID]&lt;=NC[[#This Row],[ID]]),N(NC[DATA BASE]=NC[[#This Row],[DATA BASE]]), N(NC['[D/N']] = "N"),    NC[LUCRO P/ OP]), 0)</f>
        <v>0</v>
      </c>
      <c r="AI87" s="87">
        <f>IF(NC[U] = "U", SUMPRODUCT(N(NC[DATA BASE]=NC[[#This Row],[DATA BASE]]), N(NC['[D/N']] = "D"),    NC[LUCRO P/ OP]), 0)</f>
        <v>0</v>
      </c>
      <c r="AJ87" s="87">
        <f>IF(NC[U] = "U", SUMPRODUCT(N(NC[DATA BASE]=NC[[#This Row],[DATA BASE]]), N(NC['[D/N']] = "D"),    NC[IRRF FONTE]), 0)</f>
        <v>0</v>
      </c>
    </row>
    <row r="88" spans="1:36" x14ac:dyDescent="0.2">
      <c r="A88" s="13">
        <v>87</v>
      </c>
      <c r="B88" s="85"/>
      <c r="C88" s="85" t="s">
        <v>145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8" s="87">
        <f>NC[QTDE]*NC[PREÇO]</f>
        <v>255</v>
      </c>
      <c r="O8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255</v>
      </c>
      <c r="P8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Q8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R8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0.17</v>
      </c>
      <c r="S88" s="87">
        <f>SETUP!$E$3 * IF(NC[PARCIAL] &gt; 0, NC[QTDE] / NC[PARCIAL], 1)</f>
        <v>14.9</v>
      </c>
      <c r="T88" s="87">
        <f>SUMPRODUCT(N(NC[DATA]=NC[[#This Row],[DATA]]),N(NC[ID]&lt;=NC[[#This Row],[ID]]), NC[CORR])</f>
        <v>14.9</v>
      </c>
      <c r="U88" s="87">
        <f>TRUNC(NC[CORRETAGEM]*SETUP!$F$3,2)</f>
        <v>0.28999999999999998</v>
      </c>
      <c r="V88" s="87">
        <f>ROUND(NC[CORRETAGEM]*SETUP!$G$3,2)</f>
        <v>0.57999999999999996</v>
      </c>
      <c r="W88" s="87">
        <f>NC[VALOR LÍQUIDO DAS OPERAÇÕES]-NC[TAXA DE LIQUIDAÇÃO]-NC[EMOLUMENTOS]-NC[TAXA DE REGISTRO]-NC[CORRETAGEM]-NC[ISS]-IF(NC['[D/N']]="D",    0,    NC[OUTRAS BOVESPA]) - NC[AJUSTE]</f>
        <v>238.9</v>
      </c>
      <c r="X88" s="87">
        <f>IF(AND(NC['[D/N']]="D",    NC[T]="CV",    NC[LÍQUIDO BASE] &gt; 0),    TRUNC(NC[LÍQUIDO BASE]*0.01, 2),    0)</f>
        <v>0</v>
      </c>
      <c r="Y88" s="15">
        <f>IF(NC[PREÇO] &gt; 0,    NC[LÍQUIDO BASE]-SUMPRODUCT(N(NC[DATA]=NC[[#This Row],[DATA]]),    NC[IRRF FONTE]),    0)</f>
        <v>238.9</v>
      </c>
      <c r="Z88" s="89">
        <f>NC[LÍQUIDO]-SUMPRODUCT(N(NC[DATA]=NC[[#This Row],[DATA]]),N(NC[ID]=(NC[[#This Row],[ID]]-1)),NC[LÍQUIDO])</f>
        <v>238.9</v>
      </c>
      <c r="AA88" s="87">
        <f>IF(NC[T] = "VC", ABS(NC[VALOR OP]) / NC[QTDE], NC[VALOR OP]/NC[QTDE])</f>
        <v>2.8105882352941178E-2</v>
      </c>
      <c r="AB88" s="87">
        <f>TRUNC(IF(OR(NC[T]="CV",NC[T]="VV"),     N88*SETUP!$H$3,     0),2)</f>
        <v>0.01</v>
      </c>
      <c r="AC8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0.22242235294117649</v>
      </c>
      <c r="AE8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2.8105882352941178E-2</v>
      </c>
      <c r="AF8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-1651.69</v>
      </c>
      <c r="AG88" s="87">
        <f>IF(NC[LUCRO TMP] &lt;&gt; 0, NC[LUCRO TMP] - SUMPRODUCT(N(NC[ATIVO]=NC[[#This Row],[ATIVO]]),N(NC['[D/N']]="N"),N(NC[ID]&lt;NC[[#This Row],[ID]]),N(NC[PAR]=NC[[#This Row],[PAR]]), NC[LUCRO TMP]), 0)</f>
        <v>-1651.69</v>
      </c>
      <c r="AH88" s="87">
        <f>IF(NC[U] = "U", SUMPRODUCT(N(NC[ID]&lt;=NC[[#This Row],[ID]]),N(NC[DATA BASE]=NC[[#This Row],[DATA BASE]]), N(NC['[D/N']] = "N"),    NC[LUCRO P/ OP]), 0)</f>
        <v>0</v>
      </c>
      <c r="AI88" s="87">
        <f>IF(NC[U] = "U", SUMPRODUCT(N(NC[DATA BASE]=NC[[#This Row],[DATA BASE]]), N(NC['[D/N']] = "D"),    NC[LUCRO P/ OP]), 0)</f>
        <v>0</v>
      </c>
      <c r="AJ88" s="87">
        <f>IF(NC[U] = "U", SUMPRODUCT(N(NC[DATA BASE]=NC[[#This Row],[DATA BASE]]), N(NC['[D/N']] = "D"),    NC[IRRF FONTE]), 0)</f>
        <v>0</v>
      </c>
    </row>
    <row r="89" spans="1:36" x14ac:dyDescent="0.2">
      <c r="A89" s="13">
        <v>88</v>
      </c>
      <c r="B89" s="85" t="s">
        <v>49</v>
      </c>
      <c r="C89" s="85" t="s">
        <v>146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9" s="87">
        <f>NC[QTDE]*NC[PREÇO]</f>
        <v>0</v>
      </c>
      <c r="O89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89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89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89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89" s="87">
        <f>SETUP!$E$3 * IF(NC[PARCIAL] &gt; 0, NC[QTDE] / NC[PARCIAL], 1)</f>
        <v>14.9</v>
      </c>
      <c r="T89" s="87">
        <f>SUMPRODUCT(N(NC[DATA]=NC[[#This Row],[DATA]]),N(NC[ID]&lt;=NC[[#This Row],[ID]]), NC[CORR])</f>
        <v>14.9</v>
      </c>
      <c r="U89" s="87">
        <f>TRUNC(NC[CORRETAGEM]*SETUP!$F$3,2)</f>
        <v>0.28999999999999998</v>
      </c>
      <c r="V89" s="87">
        <f>ROUND(NC[CORRETAGEM]*SETUP!$G$3,2)</f>
        <v>0.57999999999999996</v>
      </c>
      <c r="W89" s="87">
        <f>NC[VALOR LÍQUIDO DAS OPERAÇÕES]-NC[TAXA DE LIQUIDAÇÃO]-NC[EMOLUMENTOS]-NC[TAXA DE REGISTRO]-NC[CORRETAGEM]-NC[ISS]-IF(NC['[D/N']]="D",    0,    NC[OUTRAS BOVESPA]) - NC[AJUSTE]</f>
        <v>-15.77</v>
      </c>
      <c r="X89" s="87">
        <f>IF(AND(NC['[D/N']]="D",    NC[T]="CV",    NC[LÍQUIDO BASE] &gt; 0),    TRUNC(NC[LÍQUIDO BASE]*0.01, 2),    0)</f>
        <v>0</v>
      </c>
      <c r="Y89" s="15">
        <f>IF(NC[PREÇO] &gt; 0,    NC[LÍQUIDO BASE]-SUMPRODUCT(N(NC[DATA]=NC[[#This Row],[DATA]]),    NC[IRRF FONTE]),    0)</f>
        <v>0</v>
      </c>
      <c r="Z89" s="89">
        <f>NC[LÍQUIDO]-SUMPRODUCT(N(NC[DATA]=NC[[#This Row],[DATA]]),N(NC[ID]=(NC[[#This Row],[ID]]-1)),NC[LÍQUIDO])</f>
        <v>0</v>
      </c>
      <c r="AA89" s="87">
        <f>IF(NC[T] = "VC", ABS(NC[VALOR OP]) / NC[QTDE], NC[VALOR OP]/NC[QTDE])</f>
        <v>0</v>
      </c>
      <c r="AB89" s="87">
        <f>TRUNC(IF(OR(NC[T]="CV",NC[T]="VV"),     N89*SETUP!$H$3,     0),2)</f>
        <v>0</v>
      </c>
      <c r="AC89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9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0.37479999999999997</v>
      </c>
      <c r="AE89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9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-412.28</v>
      </c>
      <c r="AG89" s="87">
        <f>IF(NC[LUCRO TMP] &lt;&gt; 0, NC[LUCRO TMP] - SUMPRODUCT(N(NC[ATIVO]=NC[[#This Row],[ATIVO]]),N(NC['[D/N']]="N"),N(NC[ID]&lt;NC[[#This Row],[ID]]),N(NC[PAR]=NC[[#This Row],[PAR]]), NC[LUCRO TMP]), 0)</f>
        <v>-412.28</v>
      </c>
      <c r="AH89" s="87">
        <f>IF(NC[U] = "U", SUMPRODUCT(N(NC[ID]&lt;=NC[[#This Row],[ID]]),N(NC[DATA BASE]=NC[[#This Row],[DATA BASE]]), N(NC['[D/N']] = "N"),    NC[LUCRO P/ OP]), 0)</f>
        <v>-2063.9700000000003</v>
      </c>
      <c r="AI89" s="87">
        <f>IF(NC[U] = "U", SUMPRODUCT(N(NC[DATA BASE]=NC[[#This Row],[DATA BASE]]), N(NC['[D/N']] = "D"),    NC[LUCRO P/ OP]), 0)</f>
        <v>-652.46999999999991</v>
      </c>
      <c r="AJ89" s="87">
        <f>IF(NC[U] = "U", SUMPRODUCT(N(NC[DATA BASE]=NC[[#This Row],[DATA BASE]]), N(NC['[D/N']] = "D"),    NC[IRRF FONTE]), 0)</f>
        <v>0</v>
      </c>
    </row>
    <row r="90" spans="1:36" x14ac:dyDescent="0.2">
      <c r="A90" s="13">
        <v>89</v>
      </c>
      <c r="B90" s="85"/>
      <c r="C90" s="85" t="s">
        <v>147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90" s="87">
        <f>NC[QTDE]*NC[PREÇO]</f>
        <v>208</v>
      </c>
      <c r="O9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-208</v>
      </c>
      <c r="P9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9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9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90" s="87">
        <f>SETUP!$E$3 * IF(NC[PARCIAL] &gt; 0, NC[QTDE] / NC[PARCIAL], 1)</f>
        <v>14.9</v>
      </c>
      <c r="T90" s="87">
        <f>SUMPRODUCT(N(NC[DATA]=NC[[#This Row],[DATA]]),N(NC[ID]&lt;=NC[[#This Row],[ID]]), NC[CORR])</f>
        <v>14.9</v>
      </c>
      <c r="U90" s="87">
        <f>TRUNC(NC[CORRETAGEM]*SETUP!$F$3,2)</f>
        <v>0.28999999999999998</v>
      </c>
      <c r="V90" s="87">
        <f>ROUND(NC[CORRETAGEM]*SETUP!$G$3,2)</f>
        <v>0.57999999999999996</v>
      </c>
      <c r="W90" s="87">
        <f>NC[VALOR LÍQUIDO DAS OPERAÇÕES]-NC[TAXA DE LIQUIDAÇÃO]-NC[EMOLUMENTOS]-NC[TAXA DE REGISTRO]-NC[CORRETAGEM]-NC[ISS]-IF(NC['[D/N']]="D",    0,    NC[OUTRAS BOVESPA]) - NC[AJUSTE]</f>
        <v>-224.03</v>
      </c>
      <c r="X90" s="87">
        <f>IF(AND(NC['[D/N']]="D",    NC[T]="CV",    NC[LÍQUIDO BASE] &gt; 0),    TRUNC(NC[LÍQUIDO BASE]*0.01, 2),    0)</f>
        <v>0</v>
      </c>
      <c r="Y90" s="15">
        <f>IF(NC[PREÇO] &gt; 0,    NC[LÍQUIDO BASE]-SUMPRODUCT(N(NC[DATA]=NC[[#This Row],[DATA]]),    NC[IRRF FONTE]),    0)</f>
        <v>-224.03</v>
      </c>
      <c r="Z90" s="89">
        <f>NC[LÍQUIDO]-SUMPRODUCT(N(NC[DATA]=NC[[#This Row],[DATA]]),N(NC[ID]=(NC[[#This Row],[ID]]-1)),NC[LÍQUIDO])</f>
        <v>-224.03</v>
      </c>
      <c r="AA90" s="87">
        <f>IF(NC[T] = "VC", ABS(NC[VALOR OP]) / NC[QTDE], NC[VALOR OP]/NC[QTDE])</f>
        <v>-0.56007499999999999</v>
      </c>
      <c r="AB90" s="87">
        <f>TRUNC(IF(OR(NC[T]="CV",NC[T]="VV"),     N90*SETUP!$H$3,     0),2)</f>
        <v>0</v>
      </c>
      <c r="AC9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9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0.56007499999999999</v>
      </c>
      <c r="AE9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9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90" s="87">
        <f>IF(NC[LUCRO TMP] &lt;&gt; 0, NC[LUCRO TMP] - SUMPRODUCT(N(NC[ATIVO]=NC[[#This Row],[ATIVO]]),N(NC['[D/N']]="N"),N(NC[ID]&lt;NC[[#This Row],[ID]]),N(NC[PAR]=NC[[#This Row],[PAR]]), NC[LUCRO TMP]), 0)</f>
        <v>0</v>
      </c>
      <c r="AH90" s="87">
        <f>IF(NC[U] = "U", SUMPRODUCT(N(NC[ID]&lt;=NC[[#This Row],[ID]]),N(NC[DATA BASE]=NC[[#This Row],[DATA BASE]]), N(NC['[D/N']] = "N"),    NC[LUCRO P/ OP]), 0)</f>
        <v>0</v>
      </c>
      <c r="AI90" s="87">
        <f>IF(NC[U] = "U", SUMPRODUCT(N(NC[DATA BASE]=NC[[#This Row],[DATA BASE]]), N(NC['[D/N']] = "D"),    NC[LUCRO P/ OP]), 0)</f>
        <v>0</v>
      </c>
      <c r="AJ90" s="87">
        <f>IF(NC[U] = "U", SUMPRODUCT(N(NC[DATA BASE]=NC[[#This Row],[DATA BASE]]), N(NC['[D/N']] = "D"),    NC[IRRF FONTE]), 0)</f>
        <v>0</v>
      </c>
    </row>
    <row r="91" spans="1:36" x14ac:dyDescent="0.2">
      <c r="A91" s="13">
        <v>90</v>
      </c>
      <c r="B91" s="85"/>
      <c r="C91" s="85" t="s">
        <v>147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91" s="87">
        <f>NC[QTDE]*NC[PREÇO]</f>
        <v>172</v>
      </c>
      <c r="O9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172</v>
      </c>
      <c r="P9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9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9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91" s="87">
        <f>SETUP!$E$3 * IF(NC[PARCIAL] &gt; 0, NC[QTDE] / NC[PARCIAL], 1)</f>
        <v>14.9</v>
      </c>
      <c r="T91" s="87">
        <f>SUMPRODUCT(N(NC[DATA]=NC[[#This Row],[DATA]]),N(NC[ID]&lt;=NC[[#This Row],[ID]]), NC[CORR])</f>
        <v>14.9</v>
      </c>
      <c r="U91" s="87">
        <f>TRUNC(NC[CORRETAGEM]*SETUP!$F$3,2)</f>
        <v>0.28999999999999998</v>
      </c>
      <c r="V91" s="87">
        <f>ROUND(NC[CORRETAGEM]*SETUP!$G$3,2)</f>
        <v>0.57999999999999996</v>
      </c>
      <c r="W91" s="87">
        <f>NC[VALOR LÍQUIDO DAS OPERAÇÕES]-NC[TAXA DE LIQUIDAÇÃO]-NC[EMOLUMENTOS]-NC[TAXA DE REGISTRO]-NC[CORRETAGEM]-NC[ISS]-IF(NC['[D/N']]="D",    0,    NC[OUTRAS BOVESPA]) - NC[AJUSTE]</f>
        <v>156.01999999999998</v>
      </c>
      <c r="X91" s="87">
        <f>IF(AND(NC['[D/N']]="D",    NC[T]="CV",    NC[LÍQUIDO BASE] &gt; 0),    TRUNC(NC[LÍQUIDO BASE]*0.01, 2),    0)</f>
        <v>0</v>
      </c>
      <c r="Y91" s="15">
        <f>IF(NC[PREÇO] &gt; 0,    NC[LÍQUIDO BASE]-SUMPRODUCT(N(NC[DATA]=NC[[#This Row],[DATA]]),    NC[IRRF FONTE]),    0)</f>
        <v>156.01999999999998</v>
      </c>
      <c r="Z91" s="89">
        <f>NC[LÍQUIDO]-SUMPRODUCT(N(NC[DATA]=NC[[#This Row],[DATA]]),N(NC[ID]=(NC[[#This Row],[ID]]-1)),NC[LÍQUIDO])</f>
        <v>156.01999999999998</v>
      </c>
      <c r="AA91" s="87">
        <f>IF(NC[T] = "VC", ABS(NC[VALOR OP]) / NC[QTDE], NC[VALOR OP]/NC[QTDE])</f>
        <v>0.39004999999999995</v>
      </c>
      <c r="AB91" s="87">
        <f>TRUNC(IF(OR(NC[T]="CV",NC[T]="VV"),     N91*SETUP!$H$3,     0),2)</f>
        <v>0</v>
      </c>
      <c r="AC9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9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0.56007499999999999</v>
      </c>
      <c r="AE9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0.39004999999999995</v>
      </c>
      <c r="AF9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-68.010000000000019</v>
      </c>
      <c r="AG91" s="87">
        <f>IF(NC[LUCRO TMP] &lt;&gt; 0, NC[LUCRO TMP] - SUMPRODUCT(N(NC[ATIVO]=NC[[#This Row],[ATIVO]]),N(NC['[D/N']]="N"),N(NC[ID]&lt;NC[[#This Row],[ID]]),N(NC[PAR]=NC[[#This Row],[PAR]]), NC[LUCRO TMP]), 0)</f>
        <v>-68.010000000000019</v>
      </c>
      <c r="AH91" s="87">
        <f>IF(NC[U] = "U", SUMPRODUCT(N(NC[ID]&lt;=NC[[#This Row],[ID]]),N(NC[DATA BASE]=NC[[#This Row],[DATA BASE]]), N(NC['[D/N']] = "N"),    NC[LUCRO P/ OP]), 0)</f>
        <v>0</v>
      </c>
      <c r="AI91" s="87">
        <f>IF(NC[U] = "U", SUMPRODUCT(N(NC[DATA BASE]=NC[[#This Row],[DATA BASE]]), N(NC['[D/N']] = "D"),    NC[LUCRO P/ OP]), 0)</f>
        <v>0</v>
      </c>
      <c r="AJ91" s="87">
        <f>IF(NC[U] = "U", SUMPRODUCT(N(NC[DATA BASE]=NC[[#This Row],[DATA BASE]]), N(NC['[D/N']] = "D"),    NC[IRRF FONTE]), 0)</f>
        <v>0</v>
      </c>
    </row>
    <row r="92" spans="1:36" x14ac:dyDescent="0.2">
      <c r="A92" s="98">
        <f>SUBTOTAL(104,NC[ID])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SUBTOTAL(109,NC[IRRF])</f>
        <v>1.1800000000000004</v>
      </c>
      <c r="AC92" s="87"/>
      <c r="AD92" s="98"/>
      <c r="AE92" s="98"/>
      <c r="AF92" s="87"/>
      <c r="AG92" s="87">
        <f>SUBTOTAL(109,NC[LUCRO P/ OP])</f>
        <v>-2619.8999999999987</v>
      </c>
      <c r="AH92" s="87"/>
      <c r="AI92" s="99"/>
      <c r="AJ92" s="100"/>
    </row>
    <row r="93" spans="1:36" x14ac:dyDescent="0.2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F3" sqref="F3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 x14ac:dyDescent="0.2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152</v>
      </c>
      <c r="T1" s="10" t="s">
        <v>130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103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120</v>
      </c>
      <c r="AK1" s="10" t="s">
        <v>129</v>
      </c>
    </row>
    <row r="2" spans="1:37" x14ac:dyDescent="0.2">
      <c r="A2" s="13">
        <v>1</v>
      </c>
      <c r="B2" s="85"/>
      <c r="C2" s="85" t="s">
        <v>147</v>
      </c>
      <c r="D2" s="85" t="s">
        <v>24</v>
      </c>
      <c r="E2" s="86">
        <v>41143</v>
      </c>
      <c r="F2" s="85">
        <v>200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2" s="87">
        <f>NOTAS_80[QTDE]*NOTAS_80[PREÇO]</f>
        <v>100</v>
      </c>
      <c r="O2" s="87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-100</v>
      </c>
      <c r="P2" s="87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0.02</v>
      </c>
      <c r="Q2" s="87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0.03</v>
      </c>
      <c r="R2" s="87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0.06</v>
      </c>
      <c r="S2" s="87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2" s="87">
        <f>TRUNC(NOTAS_80[CORR BOV] * 20% * IF(NOTAS_80[PARCIAL] &gt; 0, NOTAS_80[QTDE] / NOTAS_80[PARCIAL], 1),2)</f>
        <v>0.54</v>
      </c>
      <c r="U2" s="87">
        <f>SUMPRODUCT(N(NOTAS_80[DATA]=NOTAS_80[[#This Row],[DATA]]),N(NOTAS_80[ID]&lt;=NOTAS_80[[#This Row],[ID]]), NOTAS_80[CORR])</f>
        <v>0.54</v>
      </c>
      <c r="V2" s="87">
        <f>TRUNC(NOTAS_80[CORRETAGEM]*SETUP!$F$3,2)</f>
        <v>0.01</v>
      </c>
      <c r="W2" s="87">
        <f>ROUND(NOTAS_80[CORRETAGEM]*SETUP!$G$3,2)</f>
        <v>0.02</v>
      </c>
      <c r="X2" s="87">
        <f>NOTAS_80[VALOR LÍQUIDO DAS OPERAÇÕES]-NOTAS_80[TAXA DE LIQUIDAÇÃO]-NOTAS_80[EMOLUMENTOS]-NOTAS_80[TAXA DE REGISTRO]-NOTAS_80[CORRETAGEM]-NOTAS_80[ISS]-IF(NOTAS_80['[D/N']]="D",    0,    NOTAS_80[OUTRAS BOVESPA]) - NOTAS_80[AJUSTE]</f>
        <v>-100.68</v>
      </c>
      <c r="Y2" s="87">
        <f>IF(AND(NOTAS_80['[D/N']]="D",    NOTAS_80[T]="CV",    NOTAS_80[LÍQUIDO BASE] &gt; 0),    TRUNC(NOTAS_80[LÍQUIDO BASE]*0.01, 2),    0)</f>
        <v>0</v>
      </c>
      <c r="Z2" s="15">
        <f>IF(NOTAS_80[PREÇO] &gt; 0,    NOTAS_80[LÍQUIDO BASE]-SUMPRODUCT(N(NOTAS_80[DATA]=NOTAS_80[[#This Row],[DATA]]),    NOTAS_80[IRRF FONTE]),    0)</f>
        <v>-100.68</v>
      </c>
      <c r="AA2" s="89">
        <f>NOTAS_80[LÍQUIDO]-SUMPRODUCT(N(NOTAS_80[DATA]=NOTAS_80[[#This Row],[DATA]]),N(NOTAS_80[ID]=(NOTAS_80[[#This Row],[ID]]-1)),NOTAS_80[LÍQUIDO])</f>
        <v>-100.68</v>
      </c>
      <c r="AB2" s="87">
        <f>IF(NOTAS_80[T] = "VC", ABS(NOTAS_80[VALOR OP]) / NOTAS_80[QTDE], NOTAS_80[VALOR OP]/NOTAS_80[QTDE])</f>
        <v>-0.50340000000000007</v>
      </c>
      <c r="AC2" s="87">
        <f>TRUNC(IF(OR(NOTAS_80[T]="CV",NOTAS_80[T]="VV"),     N2*SETUP!$H$3,     0),2)</f>
        <v>0</v>
      </c>
      <c r="AD2" s="85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200</v>
      </c>
      <c r="AE2" s="90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0.50340000000000007</v>
      </c>
      <c r="AF2" s="90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" s="91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" s="87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" s="87">
        <f>IF(NOTAS_80[U] = "U", SUMPRODUCT(N(NOTAS_80[ID]&lt;=NOTAS_80[[#This Row],[ID]]),N(NOTAS_80[DATA BASE]=NOTAS_80[[#This Row],[DATA BASE]]), N(NOTAS_80['[D/N']] = "N"),    NOTAS_80[LUCRO P/ OP]), 0)</f>
        <v>0</v>
      </c>
      <c r="AJ2" s="87">
        <f>IF(NOTAS_80[U] = "U", SUMPRODUCT(N(NOTAS_80[DATA BASE]=NOTAS_80[[#This Row],[DATA BASE]]), N(NOTAS_80['[D/N']] = "D"),    NOTAS_80[LUCRO P/ OP]), 0)</f>
        <v>0</v>
      </c>
      <c r="AK2" s="87">
        <f>IF(NOTAS_80[U] = "U", SUMPRODUCT(N(NOTAS_80[DATA BASE]=NOTAS_80[[#This Row],[DATA BASE]]), N(NOTAS_80['[D/N']] = "D"),    NOTAS_80[IRRF FONTE]), 0)</f>
        <v>0</v>
      </c>
    </row>
    <row r="3" spans="1:37" x14ac:dyDescent="0.2">
      <c r="A3" s="13">
        <v>2</v>
      </c>
      <c r="B3" s="85"/>
      <c r="C3" s="85" t="s">
        <v>147</v>
      </c>
      <c r="D3" s="85" t="s">
        <v>25</v>
      </c>
      <c r="E3" s="86">
        <v>41144</v>
      </c>
      <c r="F3" s="85">
        <v>200</v>
      </c>
      <c r="G3" s="87">
        <v>2.38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3" s="87">
        <f>NOTAS_80[QTDE]*NOTAS_80[PREÇO]</f>
        <v>476</v>
      </c>
      <c r="O3" s="87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476</v>
      </c>
      <c r="P3" s="87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0.13</v>
      </c>
      <c r="Q3" s="87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0.17</v>
      </c>
      <c r="R3" s="87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0.33</v>
      </c>
      <c r="S3" s="87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9.52</v>
      </c>
      <c r="T3" s="87">
        <f>TRUNC(NOTAS_80[CORR BOV] * 20% * IF(NOTAS_80[PARCIAL] &gt; 0, NOTAS_80[QTDE] / NOTAS_80[PARCIAL], 1),2)</f>
        <v>1.9</v>
      </c>
      <c r="U3" s="87">
        <f>SUMPRODUCT(N(NOTAS_80[DATA]=NOTAS_80[[#This Row],[DATA]]),N(NOTAS_80[ID]&lt;=NOTAS_80[[#This Row],[ID]]), NOTAS_80[CORR])</f>
        <v>1.9</v>
      </c>
      <c r="V3" s="87">
        <f>TRUNC(NOTAS_80[CORRETAGEM]*SETUP!$F$3,2)</f>
        <v>0.03</v>
      </c>
      <c r="W3" s="87">
        <f>ROUND(NOTAS_80[CORRETAGEM]*SETUP!$G$3,2)</f>
        <v>7.0000000000000007E-2</v>
      </c>
      <c r="X3" s="87">
        <f>NOTAS_80[VALOR LÍQUIDO DAS OPERAÇÕES]-NOTAS_80[TAXA DE LIQUIDAÇÃO]-NOTAS_80[EMOLUMENTOS]-NOTAS_80[TAXA DE REGISTRO]-NOTAS_80[CORRETAGEM]-NOTAS_80[ISS]-IF(NOTAS_80['[D/N']]="D",    0,    NOTAS_80[OUTRAS BOVESPA]) - NOTAS_80[AJUSTE]</f>
        <v>473.37000000000006</v>
      </c>
      <c r="Y3" s="87">
        <f>IF(AND(NOTAS_80['[D/N']]="D",    NOTAS_80[T]="CV",    NOTAS_80[LÍQUIDO BASE] &gt; 0),    TRUNC(NOTAS_80[LÍQUIDO BASE]*0.01, 2),    0)</f>
        <v>0</v>
      </c>
      <c r="Z3" s="15">
        <f>IF(NOTAS_80[PREÇO] &gt; 0,    NOTAS_80[LÍQUIDO BASE]-SUMPRODUCT(N(NOTAS_80[DATA]=NOTAS_80[[#This Row],[DATA]]),    NOTAS_80[IRRF FONTE]),    0)</f>
        <v>473.37000000000006</v>
      </c>
      <c r="AA3" s="89">
        <f>NOTAS_80[LÍQUIDO]-SUMPRODUCT(N(NOTAS_80[DATA]=NOTAS_80[[#This Row],[DATA]]),N(NOTAS_80[ID]=(NOTAS_80[[#This Row],[ID]]-1)),NOTAS_80[LÍQUIDO])</f>
        <v>473.37000000000006</v>
      </c>
      <c r="AB3" s="87">
        <f>IF(NOTAS_80[T] = "VC", ABS(NOTAS_80[VALOR OP]) / NOTAS_80[QTDE], NOTAS_80[VALOR OP]/NOTAS_80[QTDE])</f>
        <v>2.3668500000000003</v>
      </c>
      <c r="AC3" s="87">
        <f>TRUNC(IF(OR(NOTAS_80[T]="CV",NOTAS_80[T]="VV"),     N3*SETUP!$H$3,     0),2)</f>
        <v>0.02</v>
      </c>
      <c r="AD3" s="85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" s="90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0.50340000000000007</v>
      </c>
      <c r="AF3" s="90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2.3668500000000003</v>
      </c>
      <c r="AG3" s="91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372.69000000000005</v>
      </c>
      <c r="AH3" s="87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372.69000000000005</v>
      </c>
      <c r="AI3" s="87">
        <f>IF(NOTAS_80[U] = "U", SUMPRODUCT(N(NOTAS_80[ID]&lt;=NOTAS_80[[#This Row],[ID]]),N(NOTAS_80[DATA BASE]=NOTAS_80[[#This Row],[DATA BASE]]), N(NOTAS_80['[D/N']] = "N"),    NOTAS_80[LUCRO P/ OP]), 0)</f>
        <v>0</v>
      </c>
      <c r="AJ3" s="87">
        <f>IF(NOTAS_80[U] = "U", SUMPRODUCT(N(NOTAS_80[DATA BASE]=NOTAS_80[[#This Row],[DATA BASE]]), N(NOTAS_80['[D/N']] = "D"),    NOTAS_80[LUCRO P/ OP]), 0)</f>
        <v>0</v>
      </c>
      <c r="AK3" s="87">
        <f>IF(NOTAS_80[U] = "U", SUMPRODUCT(N(NOTAS_80[DATA BASE]=NOTAS_80[[#This Row],[DATA BASE]]), N(NOTAS_80['[D/N']] = "D"),    NOTAS_80[IRRF FONTE]), 0)</f>
        <v>0</v>
      </c>
    </row>
    <row r="4" spans="1:37" x14ac:dyDescent="0.2">
      <c r="A4" s="13">
        <v>3</v>
      </c>
      <c r="B4" s="13"/>
      <c r="C4" s="13" t="s">
        <v>153</v>
      </c>
      <c r="D4" s="85" t="s">
        <v>24</v>
      </c>
      <c r="E4" s="86">
        <v>41145</v>
      </c>
      <c r="F4" s="85">
        <v>400</v>
      </c>
      <c r="G4" s="87">
        <v>0.19</v>
      </c>
      <c r="H4" s="96"/>
      <c r="I4" s="97"/>
      <c r="J4" s="85" t="s">
        <v>6</v>
      </c>
      <c r="K4" s="14">
        <f>WORKDAY(NOTAS_80[[#This Row],[DATA]],1,0)</f>
        <v>41148</v>
      </c>
      <c r="L4" s="75">
        <f>EOMONTH(NOTAS_80[[#This Row],[DATA DE LIQUIDAÇÃO]],0)</f>
        <v>41152</v>
      </c>
      <c r="M4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4" s="15">
        <f>NOTAS_80[QTDE]*NOTAS_80[PREÇO]</f>
        <v>76</v>
      </c>
      <c r="O4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-76</v>
      </c>
      <c r="P4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0.02</v>
      </c>
      <c r="Q4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0.02</v>
      </c>
      <c r="R4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0.05</v>
      </c>
      <c r="S4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4" s="15">
        <f>TRUNC(NOTAS_80[CORR BOV] * 20% * IF(NOTAS_80[PARCIAL] &gt; 0, NOTAS_80[QTDE] / NOTAS_80[PARCIAL], 1),2)</f>
        <v>0.54</v>
      </c>
      <c r="U4" s="15">
        <f>SUMPRODUCT(N(NOTAS_80[DATA]=NOTAS_80[[#This Row],[DATA]]),N(NOTAS_80[ID]&lt;=NOTAS_80[[#This Row],[ID]]), NOTAS_80[CORR])</f>
        <v>0.54</v>
      </c>
      <c r="V4" s="15">
        <f>TRUNC(NOTAS_80[CORRETAGEM]*SETUP!$F$3,2)</f>
        <v>0.01</v>
      </c>
      <c r="W4" s="15">
        <f>ROUND(NOTAS_80[CORRETAGEM]*SETUP!$G$3,2)</f>
        <v>0.02</v>
      </c>
      <c r="X4" s="15">
        <f>NOTAS_80[VALOR LÍQUIDO DAS OPERAÇÕES]-NOTAS_80[TAXA DE LIQUIDAÇÃO]-NOTAS_80[EMOLUMENTOS]-NOTAS_80[TAXA DE REGISTRO]-NOTAS_80[CORRETAGEM]-NOTAS_80[ISS]-IF(NOTAS_80['[D/N']]="D",    0,    NOTAS_80[OUTRAS BOVESPA]) - NOTAS_80[AJUSTE]</f>
        <v>-76.66</v>
      </c>
      <c r="Y4" s="15">
        <f>IF(AND(NOTAS_80['[D/N']]="D",    NOTAS_80[T]="CV",    NOTAS_80[LÍQUIDO BASE] &gt; 0),    TRUNC(NOTAS_80[LÍQUIDO BASE]*0.01, 2),    0)</f>
        <v>0</v>
      </c>
      <c r="Z4" s="23">
        <f>IF(NOTAS_80[PREÇO] &gt; 0,    NOTAS_80[LÍQUIDO BASE]-SUMPRODUCT(N(NOTAS_80[DATA]=NOTAS_80[[#This Row],[DATA]]),    NOTAS_80[IRRF FONTE]),    0)</f>
        <v>-76.66</v>
      </c>
      <c r="AA4" s="20">
        <f>NOTAS_80[LÍQUIDO]-SUMPRODUCT(N(NOTAS_80[DATA]=NOTAS_80[[#This Row],[DATA]]),N(NOTAS_80[ID]=(NOTAS_80[[#This Row],[ID]]-1)),NOTAS_80[LÍQUIDO])</f>
        <v>-76.66</v>
      </c>
      <c r="AB4" s="15">
        <f>IF(NOTAS_80[T] = "VC", ABS(NOTAS_80[VALOR OP]) / NOTAS_80[QTDE], NOTAS_80[VALOR OP]/NOTAS_80[QTDE])</f>
        <v>-0.19164999999999999</v>
      </c>
      <c r="AC4" s="15">
        <f>TRUNC(IF(OR(NOTAS_80[T]="CV",NOTAS_80[T]="VV"),     N4*SETUP!$H$3,     0),2)</f>
        <v>0</v>
      </c>
      <c r="AD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400</v>
      </c>
      <c r="AE4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0.19164999999999999</v>
      </c>
      <c r="AF4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" s="37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" s="15">
        <f>IF(NOTAS_80[U] = "U", SUMPRODUCT(N(NOTAS_80[ID]&lt;=NOTAS_80[[#This Row],[ID]]),N(NOTAS_80[DATA BASE]=NOTAS_80[[#This Row],[DATA BASE]]), N(NOTAS_80['[D/N']] = "N"),    NOTAS_80[LUCRO P/ OP]), 0)</f>
        <v>0</v>
      </c>
      <c r="AJ4" s="15">
        <f>IF(NOTAS_80[U] = "U", SUMPRODUCT(N(NOTAS_80[DATA BASE]=NOTAS_80[[#This Row],[DATA BASE]]), N(NOTAS_80['[D/N']] = "D"),    NOTAS_80[LUCRO P/ OP]), 0)</f>
        <v>0</v>
      </c>
      <c r="AK4" s="15">
        <f>IF(NOTAS_80[U] = "U", SUMPRODUCT(N(NOTAS_80[DATA BASE]=NOTAS_80[[#This Row],[DATA BASE]]), N(NOTAS_80['[D/N']] = "D"),    NOTAS_80[IRRF FONTE]), 0)</f>
        <v>0</v>
      </c>
    </row>
    <row r="5" spans="1:37" x14ac:dyDescent="0.2">
      <c r="A5" s="13">
        <v>4</v>
      </c>
      <c r="B5" s="13" t="s">
        <v>49</v>
      </c>
      <c r="C5" s="13" t="s">
        <v>153</v>
      </c>
      <c r="D5" s="85" t="s">
        <v>25</v>
      </c>
      <c r="E5" s="86">
        <v>41146</v>
      </c>
      <c r="F5" s="85">
        <v>400</v>
      </c>
      <c r="G5" s="87">
        <v>1.1299999999999999</v>
      </c>
      <c r="H5" s="96"/>
      <c r="I5" s="97"/>
      <c r="J5" s="85" t="s">
        <v>6</v>
      </c>
      <c r="K5" s="14">
        <f>WORKDAY(NOTAS_80[[#This Row],[DATA]],1,0)</f>
        <v>41148</v>
      </c>
      <c r="L5" s="75">
        <f>EOMONTH(NOTAS_80[[#This Row],[DATA DE LIQUIDAÇÃO]],0)</f>
        <v>41152</v>
      </c>
      <c r="M5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" s="15">
        <f>NOTAS_80[QTDE]*NOTAS_80[PREÇO]</f>
        <v>451.99999999999994</v>
      </c>
      <c r="O5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451.99999999999994</v>
      </c>
      <c r="P5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0.12</v>
      </c>
      <c r="Q5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0.16</v>
      </c>
      <c r="R5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0.31</v>
      </c>
      <c r="S5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9.0399999999999991</v>
      </c>
      <c r="T5" s="15">
        <f>TRUNC(NOTAS_80[CORR BOV] * 20% * IF(NOTAS_80[PARCIAL] &gt; 0, NOTAS_80[QTDE] / NOTAS_80[PARCIAL], 1),2)</f>
        <v>1.8</v>
      </c>
      <c r="U5" s="15">
        <f>SUMPRODUCT(N(NOTAS_80[DATA]=NOTAS_80[[#This Row],[DATA]]),N(NOTAS_80[ID]&lt;=NOTAS_80[[#This Row],[ID]]), NOTAS_80[CORR])</f>
        <v>1.8</v>
      </c>
      <c r="V5" s="15">
        <f>TRUNC(NOTAS_80[CORRETAGEM]*SETUP!$F$3,2)</f>
        <v>0.03</v>
      </c>
      <c r="W5" s="15">
        <f>ROUND(NOTAS_80[CORRETAGEM]*SETUP!$G$3,2)</f>
        <v>7.0000000000000007E-2</v>
      </c>
      <c r="X5" s="15">
        <f>NOTAS_80[VALOR LÍQUIDO DAS OPERAÇÕES]-NOTAS_80[TAXA DE LIQUIDAÇÃO]-NOTAS_80[EMOLUMENTOS]-NOTAS_80[TAXA DE REGISTRO]-NOTAS_80[CORRETAGEM]-NOTAS_80[ISS]-IF(NOTAS_80['[D/N']]="D",    0,    NOTAS_80[OUTRAS BOVESPA]) - NOTAS_80[AJUSTE]</f>
        <v>449.50999999999993</v>
      </c>
      <c r="Y5" s="15">
        <f>IF(AND(NOTAS_80['[D/N']]="D",    NOTAS_80[T]="CV",    NOTAS_80[LÍQUIDO BASE] &gt; 0),    TRUNC(NOTAS_80[LÍQUIDO BASE]*0.01, 2),    0)</f>
        <v>0</v>
      </c>
      <c r="Z5" s="23">
        <f>IF(NOTAS_80[PREÇO] &gt; 0,    NOTAS_80[LÍQUIDO BASE]-SUMPRODUCT(N(NOTAS_80[DATA]=NOTAS_80[[#This Row],[DATA]]),    NOTAS_80[IRRF FONTE]),    0)</f>
        <v>449.50999999999993</v>
      </c>
      <c r="AA5" s="20">
        <f>NOTAS_80[LÍQUIDO]-SUMPRODUCT(N(NOTAS_80[DATA]=NOTAS_80[[#This Row],[DATA]]),N(NOTAS_80[ID]=(NOTAS_80[[#This Row],[ID]]-1)),NOTAS_80[LÍQUIDO])</f>
        <v>449.50999999999993</v>
      </c>
      <c r="AB5" s="15">
        <f>IF(NOTAS_80[T] = "VC", ABS(NOTAS_80[VALOR OP]) / NOTAS_80[QTDE], NOTAS_80[VALOR OP]/NOTAS_80[QTDE])</f>
        <v>1.1237749999999997</v>
      </c>
      <c r="AC5" s="15">
        <f>TRUNC(IF(OR(NOTAS_80[T]="CV",NOTAS_80[T]="VV"),     N5*SETUP!$H$3,     0),2)</f>
        <v>0.02</v>
      </c>
      <c r="AD5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0.19164999999999999</v>
      </c>
      <c r="AF5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1.1237749999999997</v>
      </c>
      <c r="AG5" s="37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372.84999999999991</v>
      </c>
      <c r="AH5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372.84999999999991</v>
      </c>
      <c r="AI5" s="15">
        <f>IF(NOTAS_80[U] = "U", SUMPRODUCT(N(NOTAS_80[ID]&lt;=NOTAS_80[[#This Row],[ID]]),N(NOTAS_80[DATA BASE]=NOTAS_80[[#This Row],[DATA BASE]]), N(NOTAS_80['[D/N']] = "N"),    NOTAS_80[LUCRO P/ OP]), 0)</f>
        <v>745.54</v>
      </c>
      <c r="AJ5" s="15">
        <f>IF(NOTAS_80[U] = "U", SUMPRODUCT(N(NOTAS_80[DATA BASE]=NOTAS_80[[#This Row],[DATA BASE]]), N(NOTAS_80['[D/N']] = "D"),    NOTAS_80[LUCRO P/ OP]), 0)</f>
        <v>0</v>
      </c>
      <c r="AK5" s="15">
        <f>IF(NOTAS_80[U] = "U", SUMPRODUCT(N(NOTAS_80[DATA BASE]=NOTAS_80[[#This Row],[DATA BASE]]), N(NOTAS_80['[D/N']] = "D"),    NOTAS_80[IRRF FONTE]), 0)</f>
        <v>0</v>
      </c>
    </row>
    <row r="6" spans="1:37" x14ac:dyDescent="0.2">
      <c r="A6" s="108">
        <f>SUBTOTAL(104,NOTAS_80[ID])</f>
        <v>4</v>
      </c>
      <c r="B6" s="108"/>
      <c r="C6" s="108"/>
      <c r="D6" s="108"/>
      <c r="E6" s="108"/>
      <c r="F6" s="108"/>
      <c r="G6" s="108"/>
      <c r="H6" s="78"/>
      <c r="I6" s="15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5"/>
      <c r="Y6" s="108"/>
      <c r="Z6" s="15"/>
      <c r="AA6" s="15"/>
      <c r="AB6" s="108"/>
      <c r="AC6" s="15">
        <f>SUBTOTAL(109,NOTAS_80[IRRF])</f>
        <v>0.04</v>
      </c>
      <c r="AD6" s="15"/>
      <c r="AE6" s="108"/>
      <c r="AF6" s="108"/>
      <c r="AG6" s="15"/>
      <c r="AH6" s="15">
        <f>SUBTOTAL(109,NOTAS_80[LUCRO P/ OP])</f>
        <v>745.54</v>
      </c>
      <c r="AI6" s="15"/>
      <c r="AJ6" s="112"/>
      <c r="AK6" s="113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 x14ac:dyDescent="0.2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 x14ac:dyDescent="0.2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 x14ac:dyDescent="0.2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IF(Tabela7[LUCRO '[N']] + Tabela7[DEDUÇÃO '[N']] &gt; 0, 0, Tabela7[LUCRO '[N']] + Tabela7[DEDUÇÃO '[N']])</f>
        <v>-656.81</v>
      </c>
      <c r="I2" s="25">
        <f>IF(Tabela7[LUCRO '[D']] + Tabela7[DEDUÇÃO '[D']] &gt; 0, 0, Tabela7[LUCRO '[D']] + Tabela7[DEDUÇÃO '[D']])</f>
        <v>0</v>
      </c>
      <c r="J2" s="25">
        <f>IF(Tabela7[ACC '[N']] = 0, ROUND((Tabela7[LUCRO '[N']] + Tabela7[DEDUÇÃO '[N']]) * 15%, 2) - Tabela7[IRRF '[N']], 0)</f>
        <v>0</v>
      </c>
      <c r="K2" s="25">
        <f>IF(Tabela7[ACC '[D']] = 0, ROUND((Tabela7[LUCRO '[D']] + Tabela7[DEDUÇÃO '[D']]) * 20%, 2) - Tabela7[IRRF '[D']], 0)</f>
        <v>90.92</v>
      </c>
      <c r="L2" s="25">
        <f>Tabela7[IRRF '[N']] + Tabela7[IRRF '[D']]</f>
        <v>4.78</v>
      </c>
      <c r="M2" s="25">
        <f>Tabela7[IR DEVIDO '[N']] + Tabela7[IR DEVIDO '[D']]</f>
        <v>90.92</v>
      </c>
      <c r="N2" s="39">
        <f>Tabela7[LUCRO '[N']] + Tabela7[LUCRO '[D']] - Tabela7[IR DEVIDO] - Tabela7[IRRF '[N']] - Tabela7[IRRF '[D']]</f>
        <v>-273.99999999999994</v>
      </c>
    </row>
    <row r="3" spans="1:15" x14ac:dyDescent="0.2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IF(Tabela7[LUCRO '[N']] + Tabela7[DEDUÇÃO '[N']] &gt; 0, 0, Tabela7[LUCRO '[N']] + Tabela7[DEDUÇÃO '[N']])</f>
        <v>-958.08</v>
      </c>
      <c r="I3" s="73">
        <f>IF(Tabela7[LUCRO '[D']] + Tabela7[DEDUÇÃO '[D']] &gt; 0, 0, Tabela7[LUCRO '[D']] + Tabela7[DEDUÇÃO '[D']])</f>
        <v>0</v>
      </c>
      <c r="J3" s="73">
        <f>IF(Tabela7[ACC '[N']] = 0, ROUND((Tabela7[LUCRO '[N']] + Tabela7[DEDUÇÃO '[N']]) * 15%, 2) - Tabela7[IRRF '[N']], 0)</f>
        <v>0</v>
      </c>
      <c r="K3" s="73">
        <f>IF(Tabela7[ACC '[D']] = 0, ROUND((Tabela7[LUCRO '[D']] + Tabela7[DEDUÇÃO '[D']]) * 20%, 2) - Tabela7[IRRF '[D']], 0)</f>
        <v>0</v>
      </c>
      <c r="L3" s="73">
        <f>Tabela7[IRRF '[N']] + Tabela7[IRRF '[D']]</f>
        <v>0</v>
      </c>
      <c r="M3" s="73">
        <f>Tabela7[IR DEVIDO '[N']] + Tabela7[IR DEVIDO '[D']]</f>
        <v>0</v>
      </c>
      <c r="N3" s="39">
        <f>Tabela7[LUCRO '[N']] + Tabela7[LUCRO '[D']] - Tabela7[IR DEVIDO] - Tabela7[IRRF '[N']] - Tabela7[IRRF '[D']]</f>
        <v>-958.08</v>
      </c>
    </row>
    <row r="4" spans="1:15" x14ac:dyDescent="0.2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IF(Tabela7[LUCRO '[N']] + Tabela7[DEDUÇÃO '[N']] &gt; 0, 0, Tabela7[LUCRO '[N']] + Tabela7[DEDUÇÃO '[N']])</f>
        <v>-1183.1200000000001</v>
      </c>
      <c r="I4" s="73">
        <f>IF(Tabela7[LUCRO '[D']] + Tabela7[DEDUÇÃO '[D']] &gt; 0, 0, Tabela7[LUCRO '[D']] + Tabela7[DEDUÇÃO '[D']])</f>
        <v>0</v>
      </c>
      <c r="J4" s="73">
        <f>IF(Tabela7[ACC '[N']] = 0, ROUND((Tabela7[LUCRO '[N']] + Tabela7[DEDUÇÃO '[N']]) * 15%, 2) - Tabela7[IRRF '[N']], 0)</f>
        <v>0</v>
      </c>
      <c r="K4" s="73">
        <f>IF(Tabela7[ACC '[D']] = 0, ROUND((Tabela7[LUCRO '[D']] + Tabela7[DEDUÇÃO '[D']]) * 20%, 2) - Tabela7[IRRF '[D']], 0)</f>
        <v>0</v>
      </c>
      <c r="L4" s="73">
        <f>Tabela7[IRRF '[N']] + Tabela7[IRRF '[D']]</f>
        <v>0</v>
      </c>
      <c r="M4" s="73">
        <f>Tabela7[IR DEVIDO '[N']] + Tabela7[IR DEVIDO '[D']]</f>
        <v>0</v>
      </c>
      <c r="N4" s="39">
        <f>Tabela7[LUCRO '[N']] + Tabela7[LUCRO '[D']] - Tabela7[IR DEVIDO] - Tabela7[IRRF '[N']] - Tabela7[IRRF '[D']]</f>
        <v>431.77</v>
      </c>
    </row>
    <row r="5" spans="1:15" x14ac:dyDescent="0.2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IF(Tabela7[LUCRO '[N']] + Tabela7[DEDUÇÃO '[N']] &gt; 0, 0, Tabela7[LUCRO '[N']] + Tabela7[DEDUÇÃO '[N']])</f>
        <v>0</v>
      </c>
      <c r="I5" s="73">
        <f>IF(Tabela7[LUCRO '[D']] + Tabela7[DEDUÇÃO '[D']] &gt; 0, 0, Tabela7[LUCRO '[D']] + Tabela7[DEDUÇÃO '[D']])</f>
        <v>0</v>
      </c>
      <c r="J5" s="73">
        <f>IF(Tabela7[ACC '[N']] = 0, ROUND((Tabela7[LUCRO '[N']] + Tabela7[DEDUÇÃO '[N']]) * 15%, 2) - Tabela7[IRRF '[N']], 0)</f>
        <v>21.759999999999998</v>
      </c>
      <c r="K5" s="73">
        <f>IF(Tabela7[ACC '[D']] = 0, ROUND((Tabela7[LUCRO '[D']] + Tabela7[DEDUÇÃO '[D']]) * 20%, 2) - Tabela7[IRRF '[D']], 0)</f>
        <v>11.14</v>
      </c>
      <c r="L5" s="73">
        <f>Tabela7[IRRF '[N']] + Tabela7[IRRF '[D']]</f>
        <v>0.75</v>
      </c>
      <c r="M5" s="73">
        <f>Tabela7[IR DEVIDO '[N']] + Tabela7[IR DEVIDO '[D']]</f>
        <v>32.9</v>
      </c>
      <c r="N5" s="39">
        <f>Tabela7[LUCRO '[N']] + Tabela7[LUCRO '[D']] - Tabela7[IR DEVIDO] - Tabela7[IRRF '[N']] - Tabela7[IRRF '[D']]</f>
        <v>1354.3099999999997</v>
      </c>
    </row>
    <row r="6" spans="1:15" x14ac:dyDescent="0.2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SUBTOTAL(109,Tabela7[LUCRO TOTAL])</f>
        <v>553.99999999999977</v>
      </c>
    </row>
    <row r="10" spans="1:15" x14ac:dyDescent="0.2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 x14ac:dyDescent="0.2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 x14ac:dyDescent="0.2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 x14ac:dyDescent="0.2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ROUNDDOWN(Tabela2[APLICAÇÃO]/Tabela2[PREÇO OPÇÃO], 0)</f>
        <v>1742</v>
      </c>
      <c r="G2" s="28">
        <f>Tabela2[QTDE TMP] - MOD(Tabela2[QTDE TMP], 100)</f>
        <v>1700</v>
      </c>
      <c r="H2" s="25">
        <f>Tabela2[EXERCÍCIO] + (Tabela2[PREÇO OPÇÃO] * 2)</f>
        <v>41.190000000000005</v>
      </c>
      <c r="I2" s="27">
        <f>Tabela2[TARGET 100%] / Tabela2[PREÇO AÇÃO] - 1</f>
        <v>3.7009063444108925E-2</v>
      </c>
      <c r="J2" s="25">
        <f>Tabela2[PREÇO OPÇÃO] * Tabela2[QTDE] - 30</f>
        <v>1755</v>
      </c>
      <c r="K2" s="25">
        <f>IF(Tabela2[PREÇO AÇÃO] &gt; Tabela2[EXERCÍCIO], Tabela2[PREÇO OPÇÃO] -(Tabela2[PREÇO AÇÃO] - Tabela2[EXERCÍCIO]), Tabela2[PREÇO OPÇÃO])</f>
        <v>0.42000000000000459</v>
      </c>
    </row>
    <row r="3" spans="1:11" x14ac:dyDescent="0.2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ROUNDDOWN(Tabela2[APLICAÇÃO]/Tabela2[PREÇO OPÇÃO], 0)</f>
        <v>2204</v>
      </c>
      <c r="G3" s="28">
        <f>Tabela2[QTDE TMP] - MOD(Tabela2[QTDE TMP], 100)</f>
        <v>2200</v>
      </c>
      <c r="H3" s="25">
        <f>Tabela2[EXERCÍCIO] + (Tabela2[PREÇO OPÇÃO] * 2)</f>
        <v>41.75</v>
      </c>
      <c r="I3" s="27">
        <f>Tabela2[TARGET 100%] / Tabela2[PREÇO AÇÃO] - 1</f>
        <v>3.0864197530864113E-2</v>
      </c>
      <c r="J3" s="25">
        <f>Tabela2[PREÇO OPÇÃO] * Tabela2[QTDE] - 30</f>
        <v>1796</v>
      </c>
      <c r="K3" s="25">
        <f>IF(Tabela2[PREÇO AÇÃO] &gt; Tabela2[EXERCÍCIO], Tabela2[PREÇO OPÇÃO] -(Tabela2[PREÇO AÇÃO] - Tabela2[EXERCÍCIO]), Tabela2[PREÇO OPÇÃO])</f>
        <v>0.42000000000000337</v>
      </c>
    </row>
    <row r="4" spans="1:11" x14ac:dyDescent="0.2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ROUNDDOWN(Tabela2[APLICAÇÃO]/Tabela2[PREÇO OPÇÃO], 0)</f>
        <v>4944</v>
      </c>
      <c r="G4" s="28">
        <f>Tabela2[QTDE TMP] - MOD(Tabela2[QTDE TMP], 100)</f>
        <v>4900</v>
      </c>
      <c r="H4" s="25">
        <f>Tabela2[EXERCÍCIO] + (Tabela2[PREÇO OPÇÃO] * 2)</f>
        <v>41.830000000000005</v>
      </c>
      <c r="I4" s="27">
        <f>Tabela2[TARGET 100%] / Tabela2[PREÇO AÇÃO] - 1</f>
        <v>3.2839506172839705E-2</v>
      </c>
      <c r="J4" s="25">
        <f>Tabela2[PREÇO OPÇÃO] * Tabela2[QTDE] - 30</f>
        <v>1783</v>
      </c>
      <c r="K4" s="25">
        <f>IF(Tabela2[PREÇO AÇÃO] &gt; Tabela2[EXERCÍCIO], Tabela2[PREÇO OPÇÃO] -(Tabela2[PREÇO AÇÃO] - Tabela2[EXERCÍCIO]), Tabela2[PREÇO OPÇÃO])</f>
        <v>0.37</v>
      </c>
    </row>
    <row r="5" spans="1:11" x14ac:dyDescent="0.2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20" sqref="E20"/>
    </sheetView>
  </sheetViews>
  <sheetFormatPr defaultColWidth="11.5703125" defaultRowHeight="11.25" x14ac:dyDescent="0.2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 x14ac:dyDescent="0.2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 x14ac:dyDescent="0.2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(Tabela24[QTDE] * Tabela24[PREÇO COMPRA]) + (Tabela24[QTDE] * Tabela24[PREÇO VENDA])</f>
        <v>268</v>
      </c>
      <c r="I2" s="25">
        <f>Tabela24[PREÇO VENDA]-Tabela24[PREÇO COMPRA]</f>
        <v>1.18</v>
      </c>
      <c r="J2" s="25">
        <f>(0.01 - Tabela24[PREÇO COMPRA]) + (Tabela24[PREÇO VENDA] - (Tabela24[EXERC. COMPRA]-Tabela24[EXERC. VENDA]+0.01))</f>
        <v>-0.81999999999999984</v>
      </c>
      <c r="K2" s="28">
        <f>ROUNDDOWN(Tabela24[RISCO]/ABS(Tabela24[PERDA P/ OPÇÃO]), 0)</f>
        <v>121</v>
      </c>
      <c r="L2" s="28">
        <f>Tabela24[QTDE TMP] - MOD(Tabela24[QTDE TMP], 100)</f>
        <v>100</v>
      </c>
      <c r="M2" s="25">
        <f>(Tabela24[QTDE]*Tabela24[LUCRO P/ OPÇÃO]) - 60</f>
        <v>58</v>
      </c>
      <c r="N2" s="25">
        <f>Tabela24[QTDE]*Tabela24[PERDA P/ OPÇÃO] - 60</f>
        <v>-142</v>
      </c>
      <c r="O2" s="27">
        <f>Tabela24[EXERC. VENDA]/Tabela24[PREÇO AÇÃO]-1</f>
        <v>2.3226135783563029E-2</v>
      </c>
      <c r="P2" s="38">
        <f>Tabela24[LUCRO*]/ABS(Tabela24[PERDA*])</f>
        <v>0.40845070422535212</v>
      </c>
    </row>
    <row r="3" spans="1:16" x14ac:dyDescent="0.2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(Tabela24[QTDE] * Tabela24[PREÇO COMPRA]) + (Tabela24[QTDE] * Tabela24[PREÇO VENDA])</f>
        <v>1022</v>
      </c>
      <c r="I3" s="25">
        <f>Tabela24[PREÇO VENDA]-Tabela24[PREÇO COMPRA]</f>
        <v>0.53</v>
      </c>
      <c r="J3" s="25">
        <f>(0.01 - Tabela24[PREÇO COMPRA]) + (Tabela24[PREÇO VENDA] - (Tabela24[EXERC. COMPRA]-Tabela24[EXERC. VENDA]+0.01))</f>
        <v>-0.35000000000000259</v>
      </c>
      <c r="K3" s="28">
        <f>ROUNDDOWN(Tabela24[RISCO]/ABS(Tabela24[PERDA P/ OPÇÃO]), 0)</f>
        <v>1428</v>
      </c>
      <c r="L3" s="28">
        <f>Tabela24[QTDE TMP] - MOD(Tabela24[QTDE TMP], 100)</f>
        <v>1400</v>
      </c>
      <c r="M3" s="25">
        <f>(Tabela24[QTDE]*Tabela24[LUCRO P/ OPÇÃO]) - 60</f>
        <v>682</v>
      </c>
      <c r="N3" s="25">
        <f>Tabela24[QTDE]*Tabela24[PERDA P/ OPÇÃO] - 60</f>
        <v>-550.00000000000364</v>
      </c>
      <c r="O3" s="27">
        <f>Tabela24[EXERC. VENDA]/Tabela24[PREÇO AÇÃO]-1</f>
        <v>-3.0880082346886328E-2</v>
      </c>
      <c r="P3" s="38">
        <f>Tabela24[LUCRO*]/ABS(Tabela24[PERDA*])</f>
        <v>1.2399999999999918</v>
      </c>
    </row>
    <row r="4" spans="1:16" x14ac:dyDescent="0.2">
      <c r="A4" s="105" t="s">
        <v>69</v>
      </c>
      <c r="B4" s="25">
        <v>100</v>
      </c>
      <c r="C4" s="25">
        <v>19.22</v>
      </c>
      <c r="D4" s="25">
        <v>18</v>
      </c>
      <c r="E4" s="25">
        <v>1.72</v>
      </c>
      <c r="F4" s="25">
        <v>18.829999999999998</v>
      </c>
      <c r="G4" s="25">
        <v>1.08</v>
      </c>
      <c r="H4" s="81">
        <f>(Tabela24[QTDE] * Tabela24[PREÇO COMPRA]) + (Tabela24[QTDE] * Tabela24[PREÇO VENDA])</f>
        <v>1400</v>
      </c>
      <c r="I4" s="81">
        <f>Tabela24[PREÇO VENDA]-Tabela24[PREÇO COMPRA]</f>
        <v>0.6399999999999999</v>
      </c>
      <c r="J4" s="81">
        <f>(0.01 - Tabela24[PREÇO COMPRA]) + (Tabela24[PREÇO VENDA] - (Tabela24[EXERC. COMPRA]-Tabela24[EXERC. VENDA]+0.01))</f>
        <v>-0.18999999999999839</v>
      </c>
      <c r="K4" s="106">
        <f>ROUNDDOWN(Tabela24[RISCO]/ABS(Tabela24[PERDA P/ OPÇÃO]), 0)</f>
        <v>526</v>
      </c>
      <c r="L4" s="106">
        <f>Tabela24[QTDE TMP] - MOD(Tabela24[QTDE TMP], 100)</f>
        <v>500</v>
      </c>
      <c r="M4" s="81">
        <f>(Tabela24[QTDE]*Tabela24[LUCRO P/ OPÇÃO]) - 60</f>
        <v>259.99999999999994</v>
      </c>
      <c r="N4" s="81">
        <f>Tabela24[QTDE]*Tabela24[PERDA P/ OPÇÃO] - 60</f>
        <v>-154.9999999999992</v>
      </c>
      <c r="O4" s="82">
        <f>Tabela24[EXERC. VENDA]/Tabela24[PREÇO AÇÃO]-1</f>
        <v>-6.3475546305931219E-2</v>
      </c>
      <c r="P4" s="83">
        <f>Tabela24[LUCRO*]/ABS(Tabela24[PERDA*])</f>
        <v>1.677419354838718</v>
      </c>
    </row>
    <row r="5" spans="1:16" x14ac:dyDescent="0.2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 x14ac:dyDescent="0.2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 x14ac:dyDescent="0.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 x14ac:dyDescent="0.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((Tabela245[PR VD] - 0.01) * 2) + ((Tabela245[EX. VD] - Tabela245[EX. CP 1] + 0.01) - Tabela245[PR CP 1]) + (0.01 - Tabela245[PR CP 2])</f>
        <v>0.65999999999999825</v>
      </c>
      <c r="K2" s="25">
        <f>(0.01 - Tabela245[PR CP 1]) + ((Tabela245[PR VD] - 0.01) * 2) + (0.01 - Tabela245[PR CP 2])</f>
        <v>-0.17</v>
      </c>
      <c r="L2" s="25">
        <f>((Tabela245[EX. CP 2] - Tabela245[EX. CP 1] + 0.01) - Tabela245[PR CP 1]) + ((Tabela245[PR VD] - (Tabela245[EX. CP 2] - Tabela245[EX. VD] + 0.01)) * 2) + (0.01 - Tabela245[PR CP 2])</f>
        <v>-0.34000000000000175</v>
      </c>
      <c r="M2" s="25">
        <f>IF(Tabela245[PERDA 1] &gt; Tabela245[PERDA 2], Tabela245[PERDA 2], Tabela245[PERDA 1])</f>
        <v>-0.34000000000000175</v>
      </c>
      <c r="N2" s="28">
        <f>ROUNDDOWN(Tabela245[BASE]/ABS(Tabela245[PERDA]), 0)</f>
        <v>294</v>
      </c>
      <c r="O2" s="28">
        <f>Tabela245[QTDE TMP] - MOD(Tabela245[QTDE TMP], 100)</f>
        <v>200</v>
      </c>
      <c r="P2" s="28">
        <f>Tabela245[[#This Row],[QTDE]]*2</f>
        <v>400</v>
      </c>
      <c r="Q2" s="25">
        <f>(Tabela245[QTDE]*Tabela245[PR CP 1] + Tabela245[QTDE]*Tabela245[PR CP 2])</f>
        <v>330</v>
      </c>
      <c r="R2" s="25">
        <f>Tabela245[QTDE]*Tabela245[PR VD] * 2</f>
        <v>296</v>
      </c>
      <c r="S2" s="39">
        <f>(Tabela245[QTDE]*Tabela245[LUCRO UNI.] - 90)</f>
        <v>41.999999999999659</v>
      </c>
      <c r="T2" s="25">
        <f>Tabela245[QTDE]*Tabela245[PERDA] - 90</f>
        <v>-158.00000000000034</v>
      </c>
      <c r="U2" s="27">
        <f>Tabela245[EX. VD] / Tabela245[PR. AÇÃO] - 1</f>
        <v>-3.4650785056848932E-2</v>
      </c>
      <c r="V2" s="38">
        <f>Tabela245[LUCRO*]/ABS(Tabela245[PERDA*])</f>
        <v>0.26582278481012384</v>
      </c>
    </row>
    <row r="3" spans="1:22" x14ac:dyDescent="0.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 x14ac:dyDescent="0.2">
      <c r="E4" s="23"/>
    </row>
    <row r="5" spans="1:22" x14ac:dyDescent="0.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 x14ac:dyDescent="0.2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 x14ac:dyDescent="0.2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-Tabela246[RISCO]/Tabela246[QTDE]</f>
        <v>-0.375</v>
      </c>
      <c r="I2" s="25">
        <f>Tabela246[PR COMPRA] * Tabela246[QTDE]</f>
        <v>400</v>
      </c>
      <c r="J2" s="25">
        <f>Tabela246[PR VENDA]-Tabela246[PR COMPRA]</f>
        <v>0.625</v>
      </c>
      <c r="K2" s="25">
        <f>Tabela246[PERDA P/ OPÇÃO] + (Tabela246[EX. COMPRA] - Tabela246[EX. VENDA] + 0.01) - 0.01 + Tabela246[PR COMPRA]</f>
        <v>1.125</v>
      </c>
      <c r="L2" s="25">
        <f>(Tabela246[QTDE]*Tabela246[LUCRO UNI])</f>
        <v>500</v>
      </c>
      <c r="M2" s="25">
        <f>Tabela246[PERDA P/ OPÇÃO]*Tabela246[QTDE]</f>
        <v>-300</v>
      </c>
      <c r="N2" s="27">
        <f>Tabela246[EX. VENDA]/Tabela246[PREÇO AÇÃO]-1</f>
        <v>0.90205128205128227</v>
      </c>
      <c r="O2" s="38">
        <f>Tabela246[LUCRO*]/ABS(Tabela246[PERDA*])</f>
        <v>1.6666666666666667</v>
      </c>
    </row>
    <row r="3" spans="1:15" x14ac:dyDescent="0.2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-Tabela246[RISCO]/Tabela246[QTDE]</f>
        <v>-0.2</v>
      </c>
      <c r="I3" s="52">
        <f>Tabela246[PR COMPRA] * Tabela246[QTDE]</f>
        <v>600</v>
      </c>
      <c r="J3" s="63">
        <f>Tabela246[PR VENDA]-Tabela246[PR COMPRA]</f>
        <v>0.68000000000000271</v>
      </c>
      <c r="K3" s="52">
        <f>Tabela246[PERDA P/ OPÇÃO] + (Tabela246[EX. COMPRA] - Tabela246[EX. VENDA] + 0.01) - 0.01 + Tabela246[PR COMPRA]</f>
        <v>1.0800000000000027</v>
      </c>
      <c r="L3" s="52">
        <f>(Tabela246[QTDE]*Tabela246[LUCRO UNI])</f>
        <v>1020.0000000000041</v>
      </c>
      <c r="M3" s="52">
        <f>Tabela246[PERDA P/ OPÇÃO]*Tabela246[QTDE]</f>
        <v>-300</v>
      </c>
      <c r="N3" s="53">
        <f>Tabela246[EX. VENDA]/Tabela246[PREÇO AÇÃO]-1</f>
        <v>-2.0740740740740837E-2</v>
      </c>
      <c r="O3" s="54">
        <f>Tabela246[LUCRO*]/ABS(Tabela246[PERDA*])</f>
        <v>3.4000000000000137</v>
      </c>
    </row>
    <row r="4" spans="1:15" x14ac:dyDescent="0.2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-Tabela246[RISCO]/Tabela246[QTDE]</f>
        <v>-0.6</v>
      </c>
      <c r="I4" s="52">
        <f>Tabela246[PR COMPRA] * Tabela246[QTDE]</f>
        <v>225</v>
      </c>
      <c r="J4" s="63">
        <f>Tabela246[PR VENDA]-Tabela246[PR COMPRA]</f>
        <v>1.2800000000000027</v>
      </c>
      <c r="K4" s="52">
        <f>Tabela246[PERDA P/ OPÇÃO] + (Tabela246[EX. COMPRA] - Tabela246[EX. VENDA] + 0.01) - 0.01 + Tabela246[PR COMPRA]</f>
        <v>1.7300000000000026</v>
      </c>
      <c r="L4" s="52">
        <f>(Tabela246[QTDE]*Tabela246[LUCRO UNI])</f>
        <v>640.00000000000136</v>
      </c>
      <c r="M4" s="52">
        <f>Tabela246[PERDA P/ OPÇÃO]*Tabela246[QTDE]</f>
        <v>-300</v>
      </c>
      <c r="N4" s="53">
        <f>Tabela246[EX. VENDA]/Tabela246[PREÇO AÇÃO]-1</f>
        <v>-7.0123456790123551E-2</v>
      </c>
      <c r="O4" s="54">
        <f>Tabela246[LUCRO*]/ABS(Tabela246[PERDA*])</f>
        <v>2.1333333333333377</v>
      </c>
    </row>
    <row r="5" spans="1:15" x14ac:dyDescent="0.2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-Tabela246[RISCO]/Tabela246[QTDE]</f>
        <v>-0.20833333333333334</v>
      </c>
      <c r="I5" s="81">
        <f>Tabela246[PR COMPRA] * Tabela246[QTDE]</f>
        <v>3144</v>
      </c>
      <c r="J5" s="63">
        <f>Tabela246[PR VENDA]-Tabela246[PR COMPRA]</f>
        <v>0.79166666666666652</v>
      </c>
      <c r="K5" s="81">
        <f>Tabela246[PERDA P/ OPÇÃO] + (Tabela246[EX. COMPRA] - Tabela246[EX. VENDA] + 0.01) - 0.01 + Tabela246[PR COMPRA]</f>
        <v>2.1016666666666666</v>
      </c>
      <c r="L5" s="81">
        <f>(Tabela246[QTDE]*Tabela246[LUCRO UNI])</f>
        <v>1899.9999999999995</v>
      </c>
      <c r="M5" s="81">
        <f>Tabela246[PERDA P/ OPÇÃO]*Tabela246[QTDE]</f>
        <v>-500</v>
      </c>
      <c r="N5" s="82">
        <f>Tabela246[EX. VENDA]/Tabela246[PREÇO AÇÃO]-1</f>
        <v>-0.101123595505618</v>
      </c>
      <c r="O5" s="83">
        <f>Tabela246[LUCRO*]/ABS(Tabela246[PERDA*])</f>
        <v>3.7999999999999989</v>
      </c>
    </row>
    <row r="6" spans="1:15" x14ac:dyDescent="0.2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H5" sqref="H5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 x14ac:dyDescent="0.2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 x14ac:dyDescent="0.2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(Tabela2467[PR VENDA] - (Tabela2467[EX. COMPRA] - Tabela2467[EX. VENDA] + 0.01)) + (0.01 - (Tabela2467[PR COMPRA]))</f>
        <v>-0.5</v>
      </c>
      <c r="J2" s="25">
        <f>Tabela2467[PR COMPRA] * Tabela2467[QTDE]</f>
        <v>400</v>
      </c>
      <c r="K2" s="25">
        <f>Tabela2467[PR VENDA]-Tabela2467[PR COMPRA]</f>
        <v>0.5</v>
      </c>
      <c r="L2" s="25">
        <f>(Tabela2467[QTDE]*Tabela2467[LUCRO UNI])</f>
        <v>400</v>
      </c>
      <c r="M2" s="25">
        <f>Tabela2467[PERDA P/ OPÇÃO]*Tabela2467[QTDE]</f>
        <v>-400</v>
      </c>
      <c r="N2" s="27">
        <f>Tabela2467[EX. VENDA]/Tabela2467[PREÇO AÇÃO]-1</f>
        <v>0.90205128205128227</v>
      </c>
      <c r="O2" s="38">
        <f>Tabela2467[LUCRO*]/ABS(Tabela2467[PERDA*])</f>
        <v>1</v>
      </c>
    </row>
    <row r="3" spans="1:15" x14ac:dyDescent="0.2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(Tabela2467[PR VENDA] - (Tabela2467[EX. COMPRA] - Tabela2467[EX. VENDA] + 0.01)) + (0.01 - (Tabela2467[PR COMPRA]))</f>
        <v>-0.33000000000000262</v>
      </c>
      <c r="J3" s="52">
        <f>Tabela2467[PR COMPRA] * Tabela2467[QTDE]</f>
        <v>400</v>
      </c>
      <c r="K3" s="63">
        <f>Tabela2467[PR VENDA]-Tabela2467[PR COMPRA]</f>
        <v>0.54999999999999993</v>
      </c>
      <c r="L3" s="52">
        <f>(Tabela2467[QTDE]*Tabela2467[LUCRO UNI])</f>
        <v>549.99999999999989</v>
      </c>
      <c r="M3" s="52">
        <f>Tabela2467[PERDA P/ OPÇÃO]*Tabela2467[QTDE]</f>
        <v>-330.00000000000261</v>
      </c>
      <c r="N3" s="53">
        <f>Tabela2467[EX. VENDA]/Tabela2467[PREÇO AÇÃO]-1</f>
        <v>-2.0740740740740837E-2</v>
      </c>
      <c r="O3" s="54">
        <f>Tabela2467[LUCRO*]/ABS(Tabela2467[PERDA*])</f>
        <v>1.6666666666666532</v>
      </c>
    </row>
    <row r="4" spans="1:15" x14ac:dyDescent="0.2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(Tabela2467[PR VENDA] - (Tabela2467[EX. COMPRA] - Tabela2467[EX. VENDA] + 0.01)) + (0.01 - (Tabela2467[PR COMPRA]))</f>
        <v>-0.62000000000000266</v>
      </c>
      <c r="J4" s="52">
        <f>Tabela2467[PR COMPRA] * Tabela2467[QTDE]</f>
        <v>200</v>
      </c>
      <c r="K4" s="63">
        <f>Tabela2467[PR VENDA]-Tabela2467[PR COMPRA]</f>
        <v>1.2599999999999998</v>
      </c>
      <c r="L4" s="52">
        <f>(Tabela2467[QTDE]*Tabela2467[LUCRO UNI])</f>
        <v>629.99999999999989</v>
      </c>
      <c r="M4" s="52">
        <f>Tabela2467[PERDA P/ OPÇÃO]*Tabela2467[QTDE]</f>
        <v>-310.00000000000131</v>
      </c>
      <c r="N4" s="53">
        <f>Tabela2467[EX. VENDA]/Tabela2467[PREÇO AÇÃO]-1</f>
        <v>-7.0123456790123551E-2</v>
      </c>
      <c r="O4" s="54">
        <f>Tabela2467[LUCRO*]/ABS(Tabela2467[PERDA*])</f>
        <v>2.0322580645161201</v>
      </c>
    </row>
    <row r="5" spans="1:15" x14ac:dyDescent="0.2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(Tabela2467[PR VENDA] - (Tabela2467[EX. COMPRA] - Tabela2467[EX. VENDA] + 0.01)) + (0.01 - (Tabela2467[PR COMPRA]))</f>
        <v>-0.28000000000000003</v>
      </c>
      <c r="J5" s="52">
        <f>Tabela2467[PR COMPRA] * Tabela2467[QTDE]</f>
        <v>1240</v>
      </c>
      <c r="K5" s="63">
        <f>Tabela2467[PR VENDA]-Tabela2467[PR COMPRA]</f>
        <v>0.72</v>
      </c>
      <c r="L5" s="52">
        <f>(Tabela2467[QTDE]*Tabela2467[LUCRO UNI])</f>
        <v>720</v>
      </c>
      <c r="M5" s="52">
        <f>Tabela2467[PERDA P/ OPÇÃO]*Tabela2467[QTDE]</f>
        <v>-280</v>
      </c>
      <c r="N5" s="53">
        <f>Tabela2467[EX. VENDA]/Tabela2467[PREÇO AÇÃO]-1</f>
        <v>-7.9504388229220568E-2</v>
      </c>
      <c r="O5" s="54">
        <f>Tabela2467[LUCRO*]/ABS(Tabela2467[PERDA*])</f>
        <v>2.5714285714285716</v>
      </c>
    </row>
    <row r="6" spans="1:15" x14ac:dyDescent="0.2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M7"/>
  <sheetViews>
    <sheetView workbookViewId="0">
      <selection activeCell="M8" sqref="M8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 x14ac:dyDescent="0.2">
      <c r="A1" s="111" t="s">
        <v>7</v>
      </c>
      <c r="B1" s="111"/>
      <c r="C1" s="111" t="s">
        <v>8</v>
      </c>
      <c r="D1" s="111"/>
      <c r="E1" s="110" t="s">
        <v>9</v>
      </c>
      <c r="F1" s="110" t="s">
        <v>4</v>
      </c>
      <c r="G1" s="110" t="s">
        <v>10</v>
      </c>
      <c r="H1" s="110" t="s">
        <v>11</v>
      </c>
      <c r="I1" s="110" t="s">
        <v>23</v>
      </c>
      <c r="K1" s="109" t="s">
        <v>151</v>
      </c>
      <c r="L1" s="109"/>
      <c r="M1" s="109"/>
    </row>
    <row r="2" spans="1:13" x14ac:dyDescent="0.2">
      <c r="A2" s="3" t="s">
        <v>12</v>
      </c>
      <c r="B2" s="3" t="s">
        <v>13</v>
      </c>
      <c r="C2" s="3" t="s">
        <v>12</v>
      </c>
      <c r="D2" s="3" t="s">
        <v>13</v>
      </c>
      <c r="E2" s="110"/>
      <c r="F2" s="110"/>
      <c r="G2" s="110"/>
      <c r="H2" s="110"/>
      <c r="I2" s="110"/>
      <c r="K2" s="18" t="s">
        <v>148</v>
      </c>
      <c r="L2" s="18" t="s">
        <v>149</v>
      </c>
      <c r="M2" s="18" t="s">
        <v>150</v>
      </c>
    </row>
    <row r="3" spans="1:13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 x14ac:dyDescent="0.2">
      <c r="A4" s="109" t="s">
        <v>26</v>
      </c>
      <c r="B4" s="109"/>
      <c r="C4" s="109"/>
      <c r="D4" s="109"/>
      <c r="E4" s="109"/>
      <c r="F4" s="109"/>
      <c r="K4" s="17">
        <v>498.62</v>
      </c>
      <c r="L4" s="17">
        <v>0</v>
      </c>
      <c r="M4" s="107">
        <v>0.02</v>
      </c>
    </row>
    <row r="5" spans="1:13" x14ac:dyDescent="0.2">
      <c r="A5" s="109" t="s">
        <v>7</v>
      </c>
      <c r="B5" s="109"/>
      <c r="C5" s="109"/>
      <c r="D5" s="109" t="s">
        <v>8</v>
      </c>
      <c r="E5" s="109"/>
      <c r="F5" s="109"/>
      <c r="K5" s="17">
        <v>1514.69</v>
      </c>
      <c r="L5" s="17">
        <v>2.4900000000000002</v>
      </c>
      <c r="M5" s="107">
        <v>1.4999999999999999E-2</v>
      </c>
    </row>
    <row r="6" spans="1:13" x14ac:dyDescent="0.2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2012-08-23T23:19:17Z</dcterms:modified>
</cp:coreProperties>
</file>