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180" windowWidth="16380" windowHeight="8010" tabRatio="211"/>
  </bookViews>
  <sheets>
    <sheet name="NOTAS" sheetId="1" r:id="rId1"/>
    <sheet name="TENDENCIA" sheetId="3" r:id="rId2"/>
    <sheet name="SETUP" sheetId="2" r:id="rId3"/>
  </sheets>
  <calcPr calcId="124519"/>
</workbook>
</file>

<file path=xl/calcChain.xml><?xml version="1.0" encoding="utf-8"?>
<calcChain xmlns="http://schemas.openxmlformats.org/spreadsheetml/2006/main">
  <c r="AA29" i="1"/>
  <c r="Y21"/>
  <c r="Y2"/>
  <c r="Y3"/>
  <c r="Y4"/>
  <c r="Y7"/>
  <c r="Y9"/>
  <c r="Y11"/>
  <c r="Y12"/>
  <c r="Y16"/>
  <c r="Y17"/>
  <c r="Y20"/>
  <c r="Y22"/>
  <c r="Y25"/>
  <c r="Y28"/>
  <c r="Y30"/>
  <c r="Y32"/>
  <c r="I31"/>
  <c r="J31"/>
  <c r="L31"/>
  <c r="Y31" s="1"/>
  <c r="Q31"/>
  <c r="R31"/>
  <c r="S31"/>
  <c r="U31"/>
  <c r="Z31"/>
  <c r="AE31"/>
  <c r="AF31"/>
  <c r="AG31"/>
  <c r="AH31"/>
  <c r="AI31"/>
  <c r="AJ31"/>
  <c r="AK31"/>
  <c r="AL31"/>
  <c r="I32"/>
  <c r="J32"/>
  <c r="L32"/>
  <c r="Q32"/>
  <c r="R32"/>
  <c r="S32"/>
  <c r="U32"/>
  <c r="Z32"/>
  <c r="AE32"/>
  <c r="AF32"/>
  <c r="AG32"/>
  <c r="AH32"/>
  <c r="AI32"/>
  <c r="AJ32"/>
  <c r="AK32"/>
  <c r="AL32"/>
  <c r="V27"/>
  <c r="AB2"/>
  <c r="AB3"/>
  <c r="AB4"/>
  <c r="AB7"/>
  <c r="AB9"/>
  <c r="AB11"/>
  <c r="AB12"/>
  <c r="AB16"/>
  <c r="AB17"/>
  <c r="AB20"/>
  <c r="AB21"/>
  <c r="AB22"/>
  <c r="AB25"/>
  <c r="AB27"/>
  <c r="AB28"/>
  <c r="AB30"/>
  <c r="I30"/>
  <c r="J30"/>
  <c r="L30"/>
  <c r="Q30"/>
  <c r="R30"/>
  <c r="S30"/>
  <c r="U30"/>
  <c r="Z30"/>
  <c r="I29"/>
  <c r="J29"/>
  <c r="L29"/>
  <c r="Y29" s="1"/>
  <c r="Q29"/>
  <c r="R29"/>
  <c r="S29"/>
  <c r="U29"/>
  <c r="Z29"/>
  <c r="AE29"/>
  <c r="AF29"/>
  <c r="AG29"/>
  <c r="AH29"/>
  <c r="AI29"/>
  <c r="AJ29"/>
  <c r="AK29"/>
  <c r="AL29"/>
  <c r="I28"/>
  <c r="J28"/>
  <c r="L28"/>
  <c r="Q28"/>
  <c r="R28"/>
  <c r="S28"/>
  <c r="U28"/>
  <c r="Z28"/>
  <c r="AE28"/>
  <c r="AF28"/>
  <c r="AG28"/>
  <c r="AH28"/>
  <c r="AI28"/>
  <c r="AJ28"/>
  <c r="AK28"/>
  <c r="AL28"/>
  <c r="F2" i="3" l="1"/>
  <c r="G2" s="1"/>
  <c r="K2"/>
  <c r="L2" s="1"/>
  <c r="M2" s="1"/>
  <c r="H2"/>
  <c r="I2" s="1"/>
  <c r="N2" l="1"/>
  <c r="J2"/>
  <c r="I26" i="1"/>
  <c r="J26" s="1"/>
  <c r="L26"/>
  <c r="Y26" s="1"/>
  <c r="Q26"/>
  <c r="R26" s="1"/>
  <c r="U26"/>
  <c r="Z26"/>
  <c r="I27"/>
  <c r="J27" s="1"/>
  <c r="L27"/>
  <c r="Y27" s="1"/>
  <c r="Q27"/>
  <c r="R27" s="1"/>
  <c r="U27"/>
  <c r="Z27"/>
  <c r="AE27"/>
  <c r="AF27"/>
  <c r="AH27" s="1"/>
  <c r="AG27"/>
  <c r="AI27" s="1"/>
  <c r="I25"/>
  <c r="J25" s="1"/>
  <c r="L25"/>
  <c r="Q25"/>
  <c r="R25" s="1"/>
  <c r="U25"/>
  <c r="Z25"/>
  <c r="I24"/>
  <c r="J24" s="1"/>
  <c r="L24"/>
  <c r="Y24" s="1"/>
  <c r="Q24"/>
  <c r="S24" s="1"/>
  <c r="U24"/>
  <c r="Z24"/>
  <c r="AE24"/>
  <c r="AF24"/>
  <c r="AH24" s="1"/>
  <c r="AG24"/>
  <c r="AI24" s="1"/>
  <c r="I23"/>
  <c r="J23" s="1"/>
  <c r="L23"/>
  <c r="Y23" s="1"/>
  <c r="Q23"/>
  <c r="R23" s="1"/>
  <c r="U23"/>
  <c r="Z23"/>
  <c r="AE23"/>
  <c r="AF23"/>
  <c r="AH23" s="1"/>
  <c r="AG23"/>
  <c r="AI23" s="1"/>
  <c r="I22"/>
  <c r="J22" s="1"/>
  <c r="L22"/>
  <c r="Q22"/>
  <c r="R22" s="1"/>
  <c r="U22"/>
  <c r="Z22"/>
  <c r="AE22"/>
  <c r="AF22"/>
  <c r="AH22" s="1"/>
  <c r="AG22"/>
  <c r="AI22" s="1"/>
  <c r="I21"/>
  <c r="J21" s="1"/>
  <c r="L21"/>
  <c r="Q21"/>
  <c r="R21" s="1"/>
  <c r="U21"/>
  <c r="Z21"/>
  <c r="AE21"/>
  <c r="AF21"/>
  <c r="AH21" s="1"/>
  <c r="AG21"/>
  <c r="AI21" s="1"/>
  <c r="N3" i="3" l="1"/>
  <c r="S26" i="1"/>
  <c r="AJ27"/>
  <c r="AK27" s="1"/>
  <c r="AL27" s="1"/>
  <c r="S27"/>
  <c r="R24"/>
  <c r="S25"/>
  <c r="AJ24"/>
  <c r="AK24" s="1"/>
  <c r="AL24" s="1"/>
  <c r="S23"/>
  <c r="AJ23"/>
  <c r="AK23" s="1"/>
  <c r="AL23" s="1"/>
  <c r="AJ22"/>
  <c r="AK22" s="1"/>
  <c r="AL22" s="1"/>
  <c r="S22"/>
  <c r="AJ21"/>
  <c r="AK21" s="1"/>
  <c r="AL21" s="1"/>
  <c r="S21"/>
  <c r="AF2"/>
  <c r="AF3"/>
  <c r="AF4"/>
  <c r="AF5"/>
  <c r="AF6"/>
  <c r="AF7"/>
  <c r="AF8"/>
  <c r="AF9"/>
  <c r="AF10"/>
  <c r="AF11"/>
  <c r="AF12"/>
  <c r="AF13"/>
  <c r="AF14"/>
  <c r="AF15"/>
  <c r="AF16"/>
  <c r="AF17"/>
  <c r="AF18"/>
  <c r="AF19"/>
  <c r="AE2"/>
  <c r="AE3"/>
  <c r="AE4"/>
  <c r="AE5"/>
  <c r="AE6"/>
  <c r="AE7"/>
  <c r="AE8"/>
  <c r="AE9"/>
  <c r="AE10"/>
  <c r="AE11"/>
  <c r="AE12"/>
  <c r="AE13"/>
  <c r="AE14"/>
  <c r="AE15"/>
  <c r="AE16"/>
  <c r="AE17"/>
  <c r="AE18"/>
  <c r="AE19"/>
  <c r="I2"/>
  <c r="I3"/>
  <c r="I4"/>
  <c r="I5"/>
  <c r="I6"/>
  <c r="I7"/>
  <c r="I8"/>
  <c r="I9"/>
  <c r="I10"/>
  <c r="I11"/>
  <c r="I12"/>
  <c r="I13"/>
  <c r="I14"/>
  <c r="I15"/>
  <c r="I16"/>
  <c r="I17"/>
  <c r="I18"/>
  <c r="J18" s="1"/>
  <c r="I19"/>
  <c r="J19" s="1"/>
  <c r="I20"/>
  <c r="J20" s="1"/>
  <c r="L20"/>
  <c r="Q20"/>
  <c r="R20" s="1"/>
  <c r="U20"/>
  <c r="Z20"/>
  <c r="L19"/>
  <c r="Y19" s="1"/>
  <c r="Q19"/>
  <c r="R19" s="1"/>
  <c r="U19"/>
  <c r="Z19"/>
  <c r="AH19"/>
  <c r="AG19"/>
  <c r="AI19" s="1"/>
  <c r="L18"/>
  <c r="Y18" s="1"/>
  <c r="Q18"/>
  <c r="R18" s="1"/>
  <c r="U18"/>
  <c r="Z18"/>
  <c r="S20" l="1"/>
  <c r="S19"/>
  <c r="AJ19"/>
  <c r="AK19" s="1"/>
  <c r="AL19" s="1"/>
  <c r="S18"/>
  <c r="J17"/>
  <c r="L17"/>
  <c r="Q17"/>
  <c r="R17" s="1"/>
  <c r="U17"/>
  <c r="Z17"/>
  <c r="S17" l="1"/>
  <c r="J16"/>
  <c r="L16"/>
  <c r="Q16"/>
  <c r="R16" s="1"/>
  <c r="U16"/>
  <c r="Z16"/>
  <c r="S16" l="1"/>
  <c r="AG2"/>
  <c r="AG3"/>
  <c r="AG4"/>
  <c r="AG5"/>
  <c r="AG6"/>
  <c r="AG7"/>
  <c r="AG8"/>
  <c r="AG9"/>
  <c r="AG10"/>
  <c r="AG11"/>
  <c r="AG12"/>
  <c r="AG13"/>
  <c r="AG14"/>
  <c r="U2" l="1"/>
  <c r="U3"/>
  <c r="U4"/>
  <c r="U6"/>
  <c r="U7"/>
  <c r="U8"/>
  <c r="U9"/>
  <c r="U11"/>
  <c r="U12"/>
  <c r="U13"/>
  <c r="U14"/>
  <c r="U15"/>
  <c r="J13"/>
  <c r="L13"/>
  <c r="Y13" s="1"/>
  <c r="Q13"/>
  <c r="S13" s="1"/>
  <c r="Z13"/>
  <c r="J14"/>
  <c r="L14"/>
  <c r="Y14" s="1"/>
  <c r="Q14"/>
  <c r="R14" s="1"/>
  <c r="Z14"/>
  <c r="J15"/>
  <c r="L15"/>
  <c r="Y15" s="1"/>
  <c r="Q15"/>
  <c r="S15" s="1"/>
  <c r="Z15"/>
  <c r="J11"/>
  <c r="L11"/>
  <c r="Q11"/>
  <c r="S11" s="1"/>
  <c r="Z11"/>
  <c r="J12"/>
  <c r="L12"/>
  <c r="Q12"/>
  <c r="S12" s="1"/>
  <c r="Z12"/>
  <c r="J9"/>
  <c r="L9"/>
  <c r="Q9"/>
  <c r="R9" s="1"/>
  <c r="Z9"/>
  <c r="J10"/>
  <c r="L10"/>
  <c r="Y10" s="1"/>
  <c r="Q10"/>
  <c r="S10" s="1"/>
  <c r="Z10"/>
  <c r="J7"/>
  <c r="L7"/>
  <c r="Q7"/>
  <c r="S7" s="1"/>
  <c r="Z7"/>
  <c r="J8"/>
  <c r="L8"/>
  <c r="Y8" s="1"/>
  <c r="Q8"/>
  <c r="S8" s="1"/>
  <c r="Z8"/>
  <c r="J6"/>
  <c r="L6"/>
  <c r="Y6" s="1"/>
  <c r="Q6"/>
  <c r="R6" s="1"/>
  <c r="Z6"/>
  <c r="A33"/>
  <c r="S6" l="1"/>
  <c r="R7"/>
  <c r="R11"/>
  <c r="R8"/>
  <c r="R13"/>
  <c r="R10"/>
  <c r="S9"/>
  <c r="S14"/>
  <c r="R12"/>
  <c r="R15"/>
  <c r="J4"/>
  <c r="J5"/>
  <c r="L5"/>
  <c r="Y5" s="1"/>
  <c r="Q5"/>
  <c r="R5" s="1"/>
  <c r="Z5"/>
  <c r="L4"/>
  <c r="Q4"/>
  <c r="R4" s="1"/>
  <c r="Z4"/>
  <c r="S5" l="1"/>
  <c r="S4"/>
  <c r="J3"/>
  <c r="L3"/>
  <c r="Q3"/>
  <c r="Z3"/>
  <c r="L2"/>
  <c r="Q2"/>
  <c r="S2" s="1"/>
  <c r="Z2"/>
  <c r="K31" l="1"/>
  <c r="K32"/>
  <c r="M31"/>
  <c r="N31"/>
  <c r="O31"/>
  <c r="P31"/>
  <c r="M32"/>
  <c r="N32"/>
  <c r="O32"/>
  <c r="P32"/>
  <c r="K29"/>
  <c r="K30"/>
  <c r="M30"/>
  <c r="N30"/>
  <c r="O30"/>
  <c r="P30"/>
  <c r="M29"/>
  <c r="N29"/>
  <c r="O29"/>
  <c r="P29"/>
  <c r="K26"/>
  <c r="K28"/>
  <c r="M28"/>
  <c r="N28"/>
  <c r="O28"/>
  <c r="P28"/>
  <c r="M26"/>
  <c r="P26"/>
  <c r="N26"/>
  <c r="O26"/>
  <c r="K25"/>
  <c r="K27"/>
  <c r="M27"/>
  <c r="P27"/>
  <c r="N27"/>
  <c r="O27"/>
  <c r="M25"/>
  <c r="P25"/>
  <c r="N25"/>
  <c r="O25"/>
  <c r="K23"/>
  <c r="K24"/>
  <c r="O24"/>
  <c r="P24"/>
  <c r="M24"/>
  <c r="N24"/>
  <c r="N23"/>
  <c r="O23"/>
  <c r="P23"/>
  <c r="M23"/>
  <c r="N22"/>
  <c r="O22"/>
  <c r="P22"/>
  <c r="M22"/>
  <c r="K21"/>
  <c r="K22"/>
  <c r="N21"/>
  <c r="O21"/>
  <c r="P21"/>
  <c r="M21"/>
  <c r="K20"/>
  <c r="M20"/>
  <c r="N20"/>
  <c r="P20"/>
  <c r="O20"/>
  <c r="M19"/>
  <c r="N19"/>
  <c r="P19"/>
  <c r="O19"/>
  <c r="K18"/>
  <c r="K19"/>
  <c r="M18"/>
  <c r="P18"/>
  <c r="N18"/>
  <c r="O18"/>
  <c r="K17"/>
  <c r="N17"/>
  <c r="P17"/>
  <c r="M17"/>
  <c r="O17"/>
  <c r="K16"/>
  <c r="M16"/>
  <c r="P16"/>
  <c r="N16"/>
  <c r="O16"/>
  <c r="K13"/>
  <c r="K14"/>
  <c r="K15"/>
  <c r="M13"/>
  <c r="N13"/>
  <c r="O13"/>
  <c r="P13"/>
  <c r="M14"/>
  <c r="N14"/>
  <c r="O14"/>
  <c r="P14"/>
  <c r="M15"/>
  <c r="N15"/>
  <c r="O15"/>
  <c r="P15"/>
  <c r="K11"/>
  <c r="K12"/>
  <c r="M11"/>
  <c r="N11"/>
  <c r="O11"/>
  <c r="P11"/>
  <c r="M12"/>
  <c r="N12"/>
  <c r="O12"/>
  <c r="P12"/>
  <c r="K9"/>
  <c r="K10"/>
  <c r="M9"/>
  <c r="N9"/>
  <c r="O9"/>
  <c r="P9"/>
  <c r="M10"/>
  <c r="N10"/>
  <c r="O10"/>
  <c r="P10"/>
  <c r="K7"/>
  <c r="K8"/>
  <c r="M7"/>
  <c r="N7"/>
  <c r="O7"/>
  <c r="P7"/>
  <c r="M8"/>
  <c r="N8"/>
  <c r="O8"/>
  <c r="P8"/>
  <c r="K6"/>
  <c r="M6"/>
  <c r="N6"/>
  <c r="O6"/>
  <c r="P6"/>
  <c r="P4"/>
  <c r="O5"/>
  <c r="N2"/>
  <c r="P2"/>
  <c r="O3"/>
  <c r="N4"/>
  <c r="P3"/>
  <c r="O4"/>
  <c r="N5"/>
  <c r="P5"/>
  <c r="O2"/>
  <c r="N3"/>
  <c r="R3"/>
  <c r="S3"/>
  <c r="K5"/>
  <c r="M5"/>
  <c r="J2"/>
  <c r="R2"/>
  <c r="T32" l="1"/>
  <c r="T31"/>
  <c r="T30"/>
  <c r="T29"/>
  <c r="T28"/>
  <c r="T27"/>
  <c r="T26"/>
  <c r="T25"/>
  <c r="T24"/>
  <c r="T23"/>
  <c r="T22"/>
  <c r="T21"/>
  <c r="AG18"/>
  <c r="T20"/>
  <c r="T19"/>
  <c r="T18"/>
  <c r="T17"/>
  <c r="T16"/>
  <c r="T15"/>
  <c r="T14"/>
  <c r="T13"/>
  <c r="T12"/>
  <c r="T11"/>
  <c r="T10"/>
  <c r="T9"/>
  <c r="T8"/>
  <c r="T7"/>
  <c r="T6"/>
  <c r="T5"/>
  <c r="K4"/>
  <c r="K3"/>
  <c r="K2"/>
  <c r="U5" l="1"/>
  <c r="U10"/>
  <c r="V5" s="1"/>
  <c r="V10"/>
  <c r="V6"/>
  <c r="V7"/>
  <c r="V8"/>
  <c r="V9"/>
  <c r="V11"/>
  <c r="V12"/>
  <c r="V13"/>
  <c r="V14"/>
  <c r="V15"/>
  <c r="V16"/>
  <c r="V17"/>
  <c r="V18"/>
  <c r="V19"/>
  <c r="V20"/>
  <c r="V21"/>
  <c r="V22"/>
  <c r="V23"/>
  <c r="V24"/>
  <c r="V25"/>
  <c r="V26"/>
  <c r="V28"/>
  <c r="V29"/>
  <c r="V30"/>
  <c r="AI18"/>
  <c r="AH18"/>
  <c r="M4"/>
  <c r="M3"/>
  <c r="T3" s="1"/>
  <c r="V3" s="1"/>
  <c r="M2"/>
  <c r="V31" l="1"/>
  <c r="V32"/>
  <c r="AJ18"/>
  <c r="AK18" s="1"/>
  <c r="AL18" s="1"/>
  <c r="T4"/>
  <c r="V4" s="1"/>
  <c r="T2"/>
  <c r="Y33"/>
  <c r="V2" l="1"/>
  <c r="W30"/>
  <c r="W29"/>
  <c r="W26"/>
  <c r="W27"/>
  <c r="W25"/>
  <c r="W24"/>
  <c r="W23"/>
  <c r="W22"/>
  <c r="W21"/>
  <c r="W20"/>
  <c r="W19"/>
  <c r="W18"/>
  <c r="W17"/>
  <c r="W16"/>
  <c r="W13"/>
  <c r="W14"/>
  <c r="W15"/>
  <c r="W11"/>
  <c r="W12"/>
  <c r="W10"/>
  <c r="W9"/>
  <c r="W7"/>
  <c r="W8"/>
  <c r="W6"/>
  <c r="W5"/>
  <c r="W2"/>
  <c r="W4"/>
  <c r="W3"/>
  <c r="X3" l="1"/>
  <c r="X6"/>
  <c r="AB6" s="1"/>
  <c r="X8"/>
  <c r="AB8" s="1"/>
  <c r="X7"/>
  <c r="X9"/>
  <c r="X10"/>
  <c r="AB10" s="1"/>
  <c r="X12"/>
  <c r="X11"/>
  <c r="X15"/>
  <c r="AB15" s="1"/>
  <c r="X14"/>
  <c r="AB14" s="1"/>
  <c r="X13"/>
  <c r="AB13" s="1"/>
  <c r="X16"/>
  <c r="X17"/>
  <c r="X18"/>
  <c r="AB18" s="1"/>
  <c r="X19"/>
  <c r="AB19" s="1"/>
  <c r="X20"/>
  <c r="X21"/>
  <c r="X22"/>
  <c r="X23"/>
  <c r="AB23" s="1"/>
  <c r="X24"/>
  <c r="AB24" s="1"/>
  <c r="X25"/>
  <c r="X27"/>
  <c r="X26"/>
  <c r="AB26" s="1"/>
  <c r="X29"/>
  <c r="X30"/>
  <c r="W28"/>
  <c r="W31"/>
  <c r="W32"/>
  <c r="AB29"/>
  <c r="AC29" s="1"/>
  <c r="AD29" s="1"/>
  <c r="X5"/>
  <c r="AB5" s="1"/>
  <c r="X2"/>
  <c r="X4"/>
  <c r="AA2" l="1"/>
  <c r="AC2" s="1"/>
  <c r="AD2" s="1"/>
  <c r="AA31"/>
  <c r="AA30"/>
  <c r="AC30" s="1"/>
  <c r="AD30" s="1"/>
  <c r="AA28"/>
  <c r="AC28" s="1"/>
  <c r="AD28" s="1"/>
  <c r="AA27"/>
  <c r="AC27" s="1"/>
  <c r="AA26"/>
  <c r="AC26" s="1"/>
  <c r="AA25"/>
  <c r="AC25" s="1"/>
  <c r="AD25" s="1"/>
  <c r="AA24"/>
  <c r="AC24" s="1"/>
  <c r="AA23"/>
  <c r="AC23" s="1"/>
  <c r="AA22"/>
  <c r="AC22" s="1"/>
  <c r="AD22" s="1"/>
  <c r="AA21"/>
  <c r="AC21" s="1"/>
  <c r="AD21" s="1"/>
  <c r="AA20"/>
  <c r="AC20" s="1"/>
  <c r="AD20" s="1"/>
  <c r="AA19"/>
  <c r="AC19" s="1"/>
  <c r="AA18"/>
  <c r="AC18" s="1"/>
  <c r="AA17"/>
  <c r="AC17" s="1"/>
  <c r="AD17" s="1"/>
  <c r="AA16"/>
  <c r="AC16" s="1"/>
  <c r="AD16" s="1"/>
  <c r="AA15"/>
  <c r="AC15" s="1"/>
  <c r="AA14"/>
  <c r="AC14" s="1"/>
  <c r="AA13"/>
  <c r="AC13" s="1"/>
  <c r="AA12"/>
  <c r="AC12" s="1"/>
  <c r="AD12" s="1"/>
  <c r="AA11"/>
  <c r="AC11" s="1"/>
  <c r="AD11" s="1"/>
  <c r="AA10"/>
  <c r="AC10" s="1"/>
  <c r="AA9"/>
  <c r="AC9" s="1"/>
  <c r="AD9" s="1"/>
  <c r="AA8"/>
  <c r="AC8" s="1"/>
  <c r="AA7"/>
  <c r="AC7" s="1"/>
  <c r="AD7" s="1"/>
  <c r="AA6"/>
  <c r="AC6" s="1"/>
  <c r="AA5"/>
  <c r="AC5" s="1"/>
  <c r="AA4"/>
  <c r="AC4" s="1"/>
  <c r="AD4" s="1"/>
  <c r="AA3"/>
  <c r="AC3" s="1"/>
  <c r="AD3" s="1"/>
  <c r="X32"/>
  <c r="AA32" s="1"/>
  <c r="X31"/>
  <c r="AB31" s="1"/>
  <c r="X28"/>
  <c r="AB32"/>
  <c r="AG25"/>
  <c r="AI25" s="1"/>
  <c r="AI9"/>
  <c r="AI13"/>
  <c r="AI4"/>
  <c r="AI5"/>
  <c r="AI2"/>
  <c r="AI7"/>
  <c r="AI6"/>
  <c r="AI11"/>
  <c r="AI10"/>
  <c r="AI14"/>
  <c r="AI3"/>
  <c r="AH13"/>
  <c r="AI12"/>
  <c r="AH3"/>
  <c r="AC32" l="1"/>
  <c r="AC31"/>
  <c r="AD31" s="1"/>
  <c r="AG26"/>
  <c r="AI26" s="1"/>
  <c r="AE26"/>
  <c r="AE25"/>
  <c r="AH17"/>
  <c r="AG17"/>
  <c r="AG16"/>
  <c r="AH16"/>
  <c r="AG15"/>
  <c r="AH15"/>
  <c r="AI8"/>
  <c r="AH14"/>
  <c r="AJ14" s="1"/>
  <c r="AK14" s="1"/>
  <c r="AL14" s="1"/>
  <c r="AH4"/>
  <c r="AJ4" s="1"/>
  <c r="AK4" s="1"/>
  <c r="AL4" s="1"/>
  <c r="AH7"/>
  <c r="AJ7" s="1"/>
  <c r="AK7" s="1"/>
  <c r="AL7" s="1"/>
  <c r="AH8"/>
  <c r="AH5"/>
  <c r="AJ5" s="1"/>
  <c r="AK5" s="1"/>
  <c r="AL5" s="1"/>
  <c r="AH12"/>
  <c r="AJ12" s="1"/>
  <c r="AK12" s="1"/>
  <c r="AL12" s="1"/>
  <c r="AH10"/>
  <c r="AJ10" s="1"/>
  <c r="AK10" s="1"/>
  <c r="AL10" s="1"/>
  <c r="AH2"/>
  <c r="AJ2" s="1"/>
  <c r="AK2" s="1"/>
  <c r="AL2" s="1"/>
  <c r="AH9"/>
  <c r="AJ9" s="1"/>
  <c r="AK9" s="1"/>
  <c r="AL9" s="1"/>
  <c r="AH11"/>
  <c r="AJ11" s="1"/>
  <c r="AK11" s="1"/>
  <c r="AL11" s="1"/>
  <c r="AH6"/>
  <c r="AJ6" s="1"/>
  <c r="AK6" s="1"/>
  <c r="AL6" s="1"/>
  <c r="AJ3"/>
  <c r="AK3" s="1"/>
  <c r="AL3" s="1"/>
  <c r="AJ13"/>
  <c r="AK13" s="1"/>
  <c r="AL13" s="1"/>
  <c r="AD27" l="1"/>
  <c r="AD26"/>
  <c r="AD24"/>
  <c r="AD23"/>
  <c r="AD19"/>
  <c r="AD18"/>
  <c r="AD15"/>
  <c r="AD14"/>
  <c r="AD13"/>
  <c r="AD10"/>
  <c r="AD8"/>
  <c r="AD6"/>
  <c r="AD5"/>
  <c r="AD32"/>
  <c r="AF26"/>
  <c r="AH26" s="1"/>
  <c r="AJ26" s="1"/>
  <c r="AK26" s="1"/>
  <c r="AL26" s="1"/>
  <c r="AF25"/>
  <c r="AH25" s="1"/>
  <c r="AJ25" s="1"/>
  <c r="AK25" s="1"/>
  <c r="AL25" s="1"/>
  <c r="AI16"/>
  <c r="AI15"/>
  <c r="AJ15" s="1"/>
  <c r="AK15" s="1"/>
  <c r="AL15" s="1"/>
  <c r="AI17"/>
  <c r="AJ8"/>
  <c r="AK8" s="1"/>
  <c r="AL8" s="1"/>
  <c r="AD33" l="1"/>
  <c r="AG30"/>
  <c r="AI30" s="1"/>
  <c r="AE30"/>
  <c r="AE20"/>
  <c r="AF20" s="1"/>
  <c r="AH20" s="1"/>
  <c r="AG20"/>
  <c r="AI20" s="1"/>
  <c r="AJ16"/>
  <c r="AK16" s="1"/>
  <c r="AL16" s="1"/>
  <c r="AJ17"/>
  <c r="AK17" s="1"/>
  <c r="AL17" s="1"/>
  <c r="AF30" l="1"/>
  <c r="AH30" s="1"/>
  <c r="AJ30" s="1"/>
  <c r="AK30" s="1"/>
  <c r="AL30"/>
  <c r="AJ20"/>
  <c r="AK20" s="1"/>
  <c r="AL20" s="1"/>
  <c r="AL33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<sst xmlns="http://schemas.openxmlformats.org/spreadsheetml/2006/main" count="169" uniqueCount="81">
  <si>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</si>
  <si>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</si>
  <si>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</si>
  <si>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</si>
  <si>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</si>
  <si>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</si>
  <si>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</si>
  <si>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</si>
  <si>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</si>
  <si>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</si>
  <si>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</si>
  <si>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</si>
  <si>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</si>
  <si>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</si>
  <si>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</si>
  <si>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</si>
  <si>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</si>
  <si>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</si>
  <si>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VALOR P/ OP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</si>
  <si>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</si>
  <si>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</si>
  <si>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</si>
  <si>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</si>
  <si>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</si>
  <si>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</si>
  <si>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</si>
  <si>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</si>
  <si>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</si>
  <si>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</si>
  <si>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</si>
  <si>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</si>
  <si>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</si>
  <si>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</si>
  <si>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</si>
  <si>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</si>
  <si>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</si>
  <si>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</si>
  <si>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</si>
  <si>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</si>
  <si>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</si>
  <si>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</si>
  <si>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</si>
  <si>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</si>
  <si>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</si>
  <si>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</si>
  <si>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</si>
  <si>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</si>
  <si>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</si>
  <si>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IR DEVIDO DT</t>
  </si>
  <si>
    <t>LUCRO P/ OP</t>
  </si>
  <si>
    <t>IR DEVIDO</t>
  </si>
  <si>
    <t>RESGATE</t>
  </si>
  <si>
    <t>LUCRO TRIB. DT</t>
  </si>
  <si>
    <t>LUCRO LÍQUIDO</t>
  </si>
  <si>
    <t>U</t>
  </si>
  <si>
    <t>OGXPD17</t>
  </si>
  <si>
    <t>BVMFD12</t>
  </si>
  <si>
    <t>OGXPD16</t>
  </si>
  <si>
    <t>LUCRO [N]</t>
  </si>
  <si>
    <t xml:space="preserve"> TRIB. [N]</t>
  </si>
  <si>
    <t>IR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</si>
  <si>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</si>
  <si>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</si>
  <si>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</si>
  <si>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</si>
  <si>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</si>
  <si>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</si>
  <si>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</si>
  <si>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</si>
  <si>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TARGET 5%</t>
  </si>
  <si>
    <t>ALTA 5%</t>
  </si>
  <si>
    <t>VALOR 5%</t>
  </si>
  <si>
    <t>APLICAÇÃO</t>
  </si>
  <si>
    <t>LUCRO 100%</t>
  </si>
  <si>
    <t>LUCRO 5%</t>
  </si>
  <si>
    <t>QTDE TMP</t>
  </si>
  <si>
    <t>VALEE43</t>
  </si>
  <si>
    <t>VALEE41</t>
  </si>
  <si>
    <t>VV</t>
  </si>
  <si>
    <t>VC</t>
  </si>
  <si>
    <t>LUCRO TMP</t>
  </si>
</sst>
</file>

<file path=xl/styles.xml><?xml version="1.0" encoding="utf-8"?>
<styleSheet xmlns="http://schemas.openxmlformats.org/spreadsheetml/2006/main">
  <numFmts count="7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dd/mm/yyyy"/>
  </numFmts>
  <fonts count="9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scheme val="minor"/>
    </font>
    <font>
      <sz val="8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0" fontId="3" fillId="0" borderId="0" xfId="0" applyNumberFormat="1" applyFont="1"/>
    <xf numFmtId="0" fontId="7" fillId="0" borderId="0" xfId="0" applyFont="1" applyAlignment="1"/>
    <xf numFmtId="164" fontId="7" fillId="0" borderId="0" xfId="0" applyNumberFormat="1" applyFont="1" applyAlignment="1"/>
    <xf numFmtId="164" fontId="8" fillId="0" borderId="0" xfId="0" applyNumberFormat="1" applyFont="1" applyAlignment="1"/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vertical="top"/>
    </xf>
    <xf numFmtId="0" fontId="7" fillId="0" borderId="0" xfId="0" applyNumberFormat="1" applyFont="1" applyAlignment="1"/>
    <xf numFmtId="168" fontId="7" fillId="0" borderId="0" xfId="0" applyNumberFormat="1" applyFont="1" applyAlignment="1"/>
    <xf numFmtId="170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4" fillId="0" borderId="0" xfId="1" applyFont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C" displayName="NC" ref="A1:AL33" totalsRowCount="1" headerRowDxfId="108" dataDxfId="107" totalsRowDxfId="106">
  <autoFilter ref="A1:AL32">
    <filterColumn colId="28"/>
  </autoFilter>
  <sortState ref="A2:AK27">
    <sortCondition ref="E1:E27"/>
  </sortState>
  <tableColumns count="38">
    <tableColumn id="19" name="ID" totalsRowFunction="max" dataDxfId="105" totalsRowDxfId="38"/>
    <tableColumn id="36" name="U" dataDxfId="104" totalsRowDxfId="37"/>
    <tableColumn id="2" name="ATIVO" dataDxfId="103" totalsRowDxfId="36"/>
    <tableColumn id="3" name="T" dataDxfId="102" totalsRowDxfId="35"/>
    <tableColumn id="4" name="DATA" dataDxfId="101" totalsRowDxfId="34"/>
    <tableColumn id="5" name="QTDE" dataDxfId="100" totalsRowDxfId="33"/>
    <tableColumn id="6" name="PREÇO" dataDxfId="99" totalsRowDxfId="32"/>
    <tableColumn id="7" name="[D/N]" dataDxfId="98" totalsRowDxfId="31"/>
    <tableColumn id="34" name="DATA DE LIQUIDAÇÃO" dataDxfId="97" totalsRowDxfId="30">
      <calculatedColumnFormula>WORKDAY(NC[[#This Row],[DATA]],1,0)</calculatedColumnFormula>
    </tableColumn>
    <tableColumn id="31" name="DATA BASE" dataDxfId="96" totalsRowDxfId="29">
      <calculatedColumnFormula>EOMONTH(NC[[#This Row],[DATA DE LIQUIDAÇÃO]],0)</calculatedColumnFormula>
    </tableColumn>
    <tableColumn id="21" name="PAR" dataDxfId="95" totalsRowDxfId="28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94" totalsRowDxfId="27">
      <calculatedColumnFormula>[QTDE]*[PREÇO]</calculatedColumnFormula>
    </tableColumn>
    <tableColumn id="9" name="VALOR LÍQUIDO DAS OPERAÇÕES" dataDxfId="93" totalsRowDxfId="26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92" totalsRowDxfId="25">
      <calculatedColumnFormula>TRUNC(SUMPRODUCT(N([DATA]=NC[[#This Row],[DATA]]),N([ID]&lt;=NC[[#This Row],[ID]]),N(['[D/N']]="N"),[VALOR DAS OPERAÇÕES]*SETUP!$B$7)  +  SUMPRODUCT(N([DATA]=NC[[#This Row],[DATA]]),N([ID]&lt;=NC[[#This Row],[ID]]),N(['[D/N']]="D"),[VALOR DAS OPERAÇÕES]*SETUP!$E$7),    2)</calculatedColumnFormula>
    </tableColumn>
    <tableColumn id="11" name="EMOLUMENTOS" dataDxfId="91" totalsRowDxfId="24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90" totalsRowDxfId="23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12" name="CORRETAGEM" dataDxfId="89" totalsRowDxfId="22">
      <calculatedColumnFormula>SETUP!$E$3*SUMPRODUCT(N([DATA]=NC[[#This Row],[DATA]]),N([ID]&lt;=NC[[#This Row],[ID]]))</calculatedColumnFormula>
    </tableColumn>
    <tableColumn id="13" name="ISS" dataDxfId="88" totalsRowDxfId="21">
      <calculatedColumnFormula>TRUNC([CORRETAGEM]*SETUP!$F$3,2)</calculatedColumnFormula>
    </tableColumn>
    <tableColumn id="15" name="OUTRAS BOVESPA" dataDxfId="87" totalsRowDxfId="20">
      <calculatedColumnFormula>ROUND([CORRETAGEM]*SETUP!$G$3,2)</calculatedColumnFormula>
    </tableColumn>
    <tableColumn id="16" name="LÍQUIDO BASE" dataDxfId="86" totalsRowDxfId="19">
      <calculatedColumnFormula>[VALOR LÍQUIDO DAS OPERAÇÕES]-[TAXA DE LIQUIDAÇÃO]-[EMOLUMENTOS]-[TAXA DE REGISTRO]-[CORRETAGEM]-[ISS]-IF(['[D/N']]="D",    0,    [OUTRAS BOVESPA])</calculatedColumnFormula>
    </tableColumn>
    <tableColumn id="33" name="IRRF FONTE" dataDxfId="85" totalsRowDxfId="18">
      <calculatedColumnFormula>IF(AND(['[D/N']]="D",    [T]="CV"),    ROUND([LÍQUIDO BASE]*0.01, 2),    0)</calculatedColumnFormula>
    </tableColumn>
    <tableColumn id="35" name="LÍQUIDO" dataDxfId="84" totalsRowDxfId="17">
      <calculatedColumnFormula>IF([PREÇO] &gt; 0,    [LÍQUIDO BASE]-SUMPRODUCT(N([DATA]=NC[[#This Row],[DATA]]),    [IRRF FONTE]),    0)</calculatedColumnFormula>
    </tableColumn>
    <tableColumn id="17" name="VALOR P/ OP" dataDxfId="83" totalsRowDxfId="16" dataCellStyle="Moeda">
      <calculatedColumnFormula>[LÍQUIDO]-SUMPRODUCT(N([DATA]=NC[[#This Row],[DATA]]),N([ID]=(NC[[#This Row],[ID]]-1)),[LÍQUIDO])</calculatedColumnFormula>
    </tableColumn>
    <tableColumn id="18" name="MEDIO P/ OP" dataDxfId="82" totalsRowDxfId="15">
      <calculatedColumnFormula>ABS(W2)/F2</calculatedColumnFormula>
    </tableColumn>
    <tableColumn id="20" name="IRRF" totalsRowFunction="sum" dataDxfId="41" totalsRowDxfId="14">
      <calculatedColumnFormula>TRUNC(IF(OR([T]="CV",[T]="VV"),     L2*SETUP!$H$3,     0),2)</calculatedColumnFormula>
    </tableColumn>
    <tableColumn id="24" name="SALDO" dataDxfId="81" totalsRowDxfId="13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40" totalsRowDxfId="12">
      <calculatedColumnFormula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80" totalsRowDxfId="11">
      <calculatedColumnFormula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calculatedColumnFormula>
    </tableColumn>
    <tableColumn id="44" name="LUCRO TMP" dataDxfId="39" totalsRowDxfId="10" dataCellStyle="Moeda">
      <calculatedColumnFormula xml:space="preserve">  IF([PREÇO] &gt; 0,  IF(AND([MED CP] &gt; 0, [MED VD] &gt; 0), ([MED VD] - [MED CP]) * [QTDE], 0),    IF(AND([MED CP] &gt; 0, [MED VD] = 0), ([MED VD] - [MED CP]) * [QTDE], 0)) + [IRRF FONTE]</calculatedColumnFormula>
    </tableColumn>
    <tableColumn id="25" name="LUCRO P/ OP" totalsRowFunction="sum" dataDxfId="0" totalsRowDxfId="9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79" totalsRowDxfId="8">
      <calculatedColumnFormula>IF([U] = "U", SUMPRODUCT(N([ID]&lt;=NC[[#This Row],[ID]]),N([DATA BASE]=NC[[#This Row],[DATA BASE]]), N(['[D/N']] = "N"),    [LUCRO P/ OP]), 0)</calculatedColumnFormula>
    </tableColumn>
    <tableColumn id="37" name=" TRIB. [N]" dataDxfId="78" totalsRowDxfId="7">
      <calculatedColumnFormula>IF([U] = "U",[LUCRO '[N']] + SUMPRODUCT(N(MONTH([DATA BASE])=MONTH(NC[[#This Row],[DATA BASE]]) - 1), [LUCRO '[N']]),0)</calculatedColumnFormula>
    </tableColumn>
    <tableColumn id="39" name="LUCRO TRIB. DT" dataDxfId="77" totalsRowDxfId="6">
      <calculatedColumnFormula>IF([U] = "U", SUMPRODUCT(N([DATA BASE]=NC[[#This Row],[DATA BASE]]), N(['[D/N']] = "D"),    [LUCRO P/ OP]), 0)</calculatedColumnFormula>
    </tableColumn>
    <tableColumn id="32" name="IR [N]" dataDxfId="76" totalsRowDxfId="5" dataCellStyle="Moeda">
      <calculatedColumnFormula>IF([ TRIB. '[N']] &gt; 0,     ROUND([ TRIB. '[N']]*0.15,    2),    0)</calculatedColumnFormula>
    </tableColumn>
    <tableColumn id="38" name="IR DEVIDO DT" dataDxfId="75" totalsRowDxfId="4" dataCellStyle="Moeda">
      <calculatedColumnFormula>IF([LUCRO TRIB. DT] &gt; 0,     ROUND([LUCRO TRIB. DT]*0.2,    2)  -  SUMPRODUCT(N([DATA BASE]=NC[[#This Row],[DATA BASE]]),    [IRRF FONTE]),    0)</calculatedColumnFormula>
    </tableColumn>
    <tableColumn id="14" name="IR DEVIDO" dataDxfId="74" totalsRowDxfId="3" dataCellStyle="Moeda">
      <calculatedColumnFormula>[IR '[N']] + [IR DEVIDO DT]</calculatedColumnFormula>
    </tableColumn>
    <tableColumn id="26" name="RESGATE" dataDxfId="73" totalsRowDxfId="2" dataCellStyle="Moeda">
      <calculatedColumnFormula>IF(AND([U] = "U",[IR DEVIDO] &gt; 0), [IR DEVIDO] + 8.9, 0)</calculatedColumnFormula>
    </tableColumn>
    <tableColumn id="27" name="LUCRO LÍQUIDO" totalsRowFunction="sum" dataDxfId="72" totalsRowDxfId="1" dataCellStyle="Moeda">
      <calculatedColumnFormula>[LUCRO '[N']]  + [LUCRO TRIB. DT] - [RESGATE]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N3" totalsRowCount="1" headerRowDxfId="71" dataDxfId="70">
  <autoFilter ref="A1:N2"/>
  <tableColumns count="14">
    <tableColumn id="1" name="PAPEL" totalsRowLabel="Total" dataDxfId="69" totalsRowDxfId="68"/>
    <tableColumn id="10" name="APLICAÇÃO" dataDxfId="67" totalsRowDxfId="66" dataCellStyle="Moeda"/>
    <tableColumn id="2" name="EXERCÍCIO" dataDxfId="65" totalsRowDxfId="64" dataCellStyle="Moeda"/>
    <tableColumn id="3" name="PREÇO OPÇÃO" dataDxfId="63" totalsRowDxfId="62" dataCellStyle="Moeda"/>
    <tableColumn id="4" name="PREÇO AÇÃO" dataDxfId="61" totalsRowDxfId="60" dataCellStyle="Moeda"/>
    <tableColumn id="11" name="QTDE TMP" dataDxfId="59" totalsRowDxfId="58" dataCellStyle="Moeda">
      <calculatedColumnFormula>ROUNDDOWN([APLICAÇÃO]/[PREÇO OPÇÃO], 0)</calculatedColumnFormula>
    </tableColumn>
    <tableColumn id="14" name="QTDE" dataDxfId="57" totalsRowDxfId="56" dataCellStyle="Moeda">
      <calculatedColumnFormula>[QTDE TMP] - MOD([QTDE TMP], 100)</calculatedColumnFormula>
    </tableColumn>
    <tableColumn id="5" name="TARGET 100%" dataDxfId="55" totalsRowDxfId="54" dataCellStyle="Moeda">
      <calculatedColumnFormula>[EXERCÍCIO] + ([PREÇO OPÇÃO] * 2)</calculatedColumnFormula>
    </tableColumn>
    <tableColumn id="6" name="ALTA 100%" dataDxfId="53" totalsRowDxfId="52" dataCellStyle="Porcentagem">
      <calculatedColumnFormula>[TARGET 100%] / [PREÇO AÇÃO] - 1</calculatedColumnFormula>
    </tableColumn>
    <tableColumn id="12" name="LUCRO 100%" dataDxfId="51" totalsRowDxfId="50" dataCellStyle="Moeda">
      <calculatedColumnFormula>[PREÇO OPÇÃO] * [QTDE] * 0.85</calculatedColumnFormula>
    </tableColumn>
    <tableColumn id="7" name="TARGET 5%" dataDxfId="49" totalsRowDxfId="48" dataCellStyle="Moeda">
      <calculatedColumnFormula>[PREÇO AÇÃO] * 105%</calculatedColumnFormula>
    </tableColumn>
    <tableColumn id="8" name="VALOR 5%" dataDxfId="47" totalsRowDxfId="46" dataCellStyle="Moeda">
      <calculatedColumnFormula>([TARGET 5%] - [EXERCÍCIO])</calculatedColumnFormula>
    </tableColumn>
    <tableColumn id="9" name="ALTA 5%" dataDxfId="45" totalsRowDxfId="44" dataCellStyle="Porcentagem">
      <calculatedColumnFormula>[VALOR 5%] / [PREÇO OPÇÃO] - 1</calculatedColumnFormula>
    </tableColumn>
    <tableColumn id="13" name="LUCRO 5%" totalsRowFunction="count" dataDxfId="43" totalsRowDxfId="42" dataCellStyle="Moeda">
      <calculatedColumnFormula>([VALOR 5%] - [PREÇO OPÇÃO]) * [QTDE] * 0.85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L34"/>
  <sheetViews>
    <sheetView tabSelected="1" workbookViewId="0">
      <pane xSplit="8" ySplit="1" topLeftCell="U11" activePane="bottomRight" state="frozen"/>
      <selection pane="topRight" activeCell="I1" sqref="I1"/>
      <selection pane="bottomLeft" activeCell="A2" sqref="A2"/>
      <selection pane="bottomRight" activeCell="AG29" sqref="AG29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6" width="6.85546875" style="7" bestFit="1" customWidth="1"/>
    <col min="7" max="7" width="7.7109375" style="7" bestFit="1" customWidth="1"/>
    <col min="8" max="8" width="7.140625" style="7" bestFit="1" customWidth="1"/>
    <col min="9" max="9" width="10.5703125" style="7" hidden="1" customWidth="1"/>
    <col min="10" max="10" width="10.5703125" style="8" hidden="1" customWidth="1"/>
    <col min="11" max="11" width="19" style="7" hidden="1" customWidth="1"/>
    <col min="12" max="12" width="25.28515625" style="9" hidden="1" customWidth="1"/>
    <col min="13" max="13" width="17.85546875" style="7" hidden="1" customWidth="1"/>
    <col min="14" max="14" width="13.7109375" style="8" hidden="1" customWidth="1"/>
    <col min="15" max="15" width="15.5703125" style="8" hidden="1" customWidth="1"/>
    <col min="16" max="16" width="12.42578125" style="7" hidden="1" customWidth="1"/>
    <col min="17" max="17" width="6.85546875" style="7" hidden="1" customWidth="1"/>
    <col min="18" max="18" width="15" style="7" hidden="1" customWidth="1"/>
    <col min="19" max="19" width="12.5703125" style="7" hidden="1" customWidth="1"/>
    <col min="20" max="20" width="10.42578125" style="7" hidden="1" customWidth="1"/>
    <col min="21" max="21" width="10.42578125" style="7" bestFit="1" customWidth="1"/>
    <col min="22" max="22" width="9.85546875" style="7" bestFit="1" customWidth="1"/>
    <col min="23" max="24" width="11.85546875" style="7" customWidth="1"/>
    <col min="25" max="25" width="6.85546875" style="7" hidden="1" customWidth="1"/>
    <col min="26" max="26" width="9.85546875" style="7" hidden="1" customWidth="1"/>
    <col min="27" max="27" width="11.140625" style="7" hidden="1" customWidth="1"/>
    <col min="28" max="28" width="8.5703125" style="7" hidden="1" customWidth="1"/>
    <col min="29" max="29" width="10.85546875" style="25" hidden="1" customWidth="1"/>
    <col min="30" max="30" width="9.85546875" style="7" bestFit="1" customWidth="1"/>
    <col min="31" max="31" width="10" style="7" bestFit="1" customWidth="1"/>
    <col min="32" max="32" width="9.85546875" style="7" bestFit="1" customWidth="1"/>
    <col min="33" max="33" width="12" style="7" bestFit="1" customWidth="1"/>
    <col min="34" max="34" width="10" style="7" bestFit="1" customWidth="1"/>
    <col min="35" max="35" width="9" style="7" bestFit="1" customWidth="1"/>
    <col min="36" max="36" width="13.5703125" style="7" bestFit="1" customWidth="1"/>
    <col min="37" max="37" width="9.140625" style="7" bestFit="1" customWidth="1"/>
    <col min="38" max="16384" width="11.5703125" style="7"/>
  </cols>
  <sheetData>
    <row r="1" spans="1:38" s="10" customFormat="1">
      <c r="A1" s="10" t="s">
        <v>17</v>
      </c>
      <c r="B1" s="10" t="s">
        <v>54</v>
      </c>
      <c r="C1" s="10" t="s">
        <v>0</v>
      </c>
      <c r="D1" s="10" t="s">
        <v>47</v>
      </c>
      <c r="E1" s="10" t="s">
        <v>16</v>
      </c>
      <c r="F1" s="10" t="s">
        <v>1</v>
      </c>
      <c r="G1" s="10" t="s">
        <v>2</v>
      </c>
      <c r="H1" s="10" t="s">
        <v>3</v>
      </c>
      <c r="I1" s="10" t="s">
        <v>40</v>
      </c>
      <c r="J1" s="10" t="s">
        <v>41</v>
      </c>
      <c r="K1" s="10" t="s">
        <v>22</v>
      </c>
      <c r="L1" s="10" t="s">
        <v>34</v>
      </c>
      <c r="M1" s="10" t="s">
        <v>35</v>
      </c>
      <c r="N1" s="11" t="s">
        <v>36</v>
      </c>
      <c r="O1" s="10" t="s">
        <v>37</v>
      </c>
      <c r="P1" s="10" t="s">
        <v>38</v>
      </c>
      <c r="Q1" s="12" t="s">
        <v>9</v>
      </c>
      <c r="R1" s="10" t="s">
        <v>4</v>
      </c>
      <c r="S1" s="12" t="s">
        <v>39</v>
      </c>
      <c r="T1" s="10" t="s">
        <v>33</v>
      </c>
      <c r="U1" s="12" t="s">
        <v>45</v>
      </c>
      <c r="V1" s="12" t="s">
        <v>5</v>
      </c>
      <c r="W1" s="10" t="s">
        <v>18</v>
      </c>
      <c r="X1" s="10" t="s">
        <v>42</v>
      </c>
      <c r="Y1" s="10" t="s">
        <v>19</v>
      </c>
      <c r="Z1" s="10" t="s">
        <v>23</v>
      </c>
      <c r="AA1" s="10" t="s">
        <v>20</v>
      </c>
      <c r="AB1" s="10" t="s">
        <v>21</v>
      </c>
      <c r="AC1" s="44" t="s">
        <v>80</v>
      </c>
      <c r="AD1" s="10" t="s">
        <v>49</v>
      </c>
      <c r="AE1" s="10" t="s">
        <v>58</v>
      </c>
      <c r="AF1" s="10" t="s">
        <v>59</v>
      </c>
      <c r="AG1" s="10" t="s">
        <v>52</v>
      </c>
      <c r="AH1" s="10" t="s">
        <v>60</v>
      </c>
      <c r="AI1" s="10" t="s">
        <v>48</v>
      </c>
      <c r="AJ1" s="10" t="s">
        <v>50</v>
      </c>
      <c r="AK1" s="10" t="s">
        <v>51</v>
      </c>
      <c r="AL1" s="10" t="s">
        <v>53</v>
      </c>
    </row>
    <row r="2" spans="1:38" ht="11.25" customHeight="1">
      <c r="A2" s="13">
        <v>1</v>
      </c>
      <c r="B2" s="13"/>
      <c r="C2" s="13" t="s">
        <v>29</v>
      </c>
      <c r="D2" s="13" t="s">
        <v>25</v>
      </c>
      <c r="E2" s="14">
        <v>40980</v>
      </c>
      <c r="F2" s="13">
        <v>600</v>
      </c>
      <c r="G2" s="15">
        <v>0.28000000000000003</v>
      </c>
      <c r="H2" s="13" t="s">
        <v>6</v>
      </c>
      <c r="I2" s="14">
        <f>WORKDAY(NC[[#This Row],[DATA]],1,0)</f>
        <v>40981</v>
      </c>
      <c r="J2" s="21">
        <f>EOMONTH(NC[[#This Row],[DATA DE LIQUIDAÇÃO]],0)</f>
        <v>40999</v>
      </c>
      <c r="K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" s="15">
        <f>[QTDE]*[PREÇO]</f>
        <v>168.00000000000003</v>
      </c>
      <c r="M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N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" s="15">
        <f>SETUP!$E$3*SUMPRODUCT(N([DATA]=NC[[#This Row],[DATA]]),N([ID]&lt;=NC[[#This Row],[ID]]))</f>
        <v>14.9</v>
      </c>
      <c r="R2" s="15">
        <f>TRUNC([CORRETAGEM]*SETUP!$F$3,2)</f>
        <v>0.28999999999999998</v>
      </c>
      <c r="S2" s="15">
        <f>ROUND([CORRETAGEM]*SETUP!$G$3,2)</f>
        <v>0.57999999999999996</v>
      </c>
      <c r="T2" s="15">
        <f>[VALOR LÍQUIDO DAS OPERAÇÕES]-[TAXA DE LIQUIDAÇÃO]-[EMOLUMENTOS]-[TAXA DE REGISTRO]-[CORRETAGEM]-[ISS]-IF(['[D/N']]="D",    0,    [OUTRAS BOVESPA])</f>
        <v>-183.98000000000005</v>
      </c>
      <c r="U2" s="15">
        <f>IF(AND(['[D/N']]="D",    [T]="CV"),    ROUND([LÍQUIDO BASE]*0.01, 2),    0)</f>
        <v>0</v>
      </c>
      <c r="V2" s="15">
        <f>IF([PREÇO] &gt; 0,    [LÍQUIDO BASE]-SUMPRODUCT(N([DATA]=NC[[#This Row],[DATA]]),    [IRRF FONTE]),    0)</f>
        <v>-183.98000000000005</v>
      </c>
      <c r="W2" s="15">
        <f>[LÍQUIDO]-SUMPRODUCT(N([DATA]=NC[[#This Row],[DATA]]),N([ID]=(NC[[#This Row],[ID]]-1)),[LÍQUIDO])</f>
        <v>-183.98000000000005</v>
      </c>
      <c r="X2" s="15">
        <f t="shared" ref="X2:X32" si="0">ABS(W2)/F2</f>
        <v>0.30663333333333342</v>
      </c>
      <c r="Y2" s="15">
        <f>TRUNC(IF(OR([T]="CV",[T]="VV"),     L2*SETUP!$H$3,     0),2)</f>
        <v>0</v>
      </c>
      <c r="Z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A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B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2" s="15">
        <f>IF([LUCRO TMP] &lt;&gt; 0, [LUCRO TMP] - SUMPRODUCT(N([ATIVO]=NC[[#This Row],[ATIVO]]),N(['[D/N']]="N"),N([ID]&lt;NC[[#This Row],[ID]]),N([PAR]=NC[[#This Row],[PAR]]), [LUCRO TMP]), 0)</f>
        <v>0</v>
      </c>
      <c r="AE2" s="15">
        <f>IF([U] = "U", SUMPRODUCT(N([ID]&lt;=NC[[#This Row],[ID]]),N([DATA BASE]=NC[[#This Row],[DATA BASE]]), N(['[D/N']] = "N"),    [LUCRO P/ OP]), 0)</f>
        <v>0</v>
      </c>
      <c r="AF2" s="15">
        <f>IF([U] = "U",[LUCRO '[N']] + SUMPRODUCT(N(MONTH([DATA BASE])=MONTH(NC[[#This Row],[DATA BASE]]) - 1), [LUCRO '[N']]),0)</f>
        <v>0</v>
      </c>
      <c r="AG2" s="15">
        <f>IF([U] = "U", SUMPRODUCT(N([DATA BASE]=NC[[#This Row],[DATA BASE]]), N(['[D/N']] = "D"),    [LUCRO P/ OP]), 0)</f>
        <v>0</v>
      </c>
      <c r="AH2" s="19">
        <f>IF([ TRIB. '[N']] &gt; 0,     ROUND([ TRIB. '[N']]*0.15,    2),    0)</f>
        <v>0</v>
      </c>
      <c r="AI2" s="19">
        <f>IF([LUCRO TRIB. DT] &gt; 0,     ROUND([LUCRO TRIB. DT]*0.2,    2)  -  SUMPRODUCT(N([DATA BASE]=NC[[#This Row],[DATA BASE]]),    [IRRF FONTE]),    0)</f>
        <v>0</v>
      </c>
      <c r="AJ2" s="19">
        <f>[IR '[N']] + [IR DEVIDO DT]</f>
        <v>0</v>
      </c>
      <c r="AK2" s="19">
        <f>IF(AND([U] = "U",[IR DEVIDO] &gt; 0), [IR DEVIDO] + 8.9, 0)</f>
        <v>0</v>
      </c>
      <c r="AL2" s="19">
        <f>[LUCRO '[N']]  + [LUCRO TRIB. DT] - [RESGATE]</f>
        <v>0</v>
      </c>
    </row>
    <row r="3" spans="1:38" ht="11.25" customHeight="1">
      <c r="A3" s="13">
        <v>2</v>
      </c>
      <c r="B3" s="13"/>
      <c r="C3" s="13" t="s">
        <v>30</v>
      </c>
      <c r="D3" s="13" t="s">
        <v>25</v>
      </c>
      <c r="E3" s="14">
        <v>40980</v>
      </c>
      <c r="F3" s="13">
        <v>400</v>
      </c>
      <c r="G3" s="15">
        <v>0.4</v>
      </c>
      <c r="H3" s="13" t="s">
        <v>6</v>
      </c>
      <c r="I3" s="14">
        <f>WORKDAY(NC[[#This Row],[DATA]],1,0)</f>
        <v>40981</v>
      </c>
      <c r="J3" s="21">
        <f>EOMONTH(NC[[#This Row],[DATA DE LIQUIDAÇÃO]],0)</f>
        <v>40999</v>
      </c>
      <c r="K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" s="15">
        <f>[QTDE]*[PREÇO]</f>
        <v>160</v>
      </c>
      <c r="M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N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0.09</v>
      </c>
      <c r="O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P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Q3" s="15">
        <f>SETUP!$E$3*SUMPRODUCT(N([DATA]=NC[[#This Row],[DATA]]),N([ID]&lt;=NC[[#This Row],[ID]]))</f>
        <v>29.8</v>
      </c>
      <c r="R3" s="15">
        <f>TRUNC([CORRETAGEM]*SETUP!$F$3,2)</f>
        <v>0.59</v>
      </c>
      <c r="S3" s="15">
        <f>ROUND([CORRETAGEM]*SETUP!$G$3,2)</f>
        <v>1.1599999999999999</v>
      </c>
      <c r="T3" s="15">
        <f>[VALOR LÍQUIDO DAS OPERAÇÕES]-[TAXA DE LIQUIDAÇÃO]-[EMOLUMENTOS]-[TAXA DE REGISTRO]-[CORRETAGEM]-[ISS]-IF(['[D/N']]="D",    0,    [OUTRAS BOVESPA])</f>
        <v>-359.98</v>
      </c>
      <c r="U3" s="15">
        <f>IF(AND(['[D/N']]="D",    [T]="CV"),    ROUND([LÍQUIDO BASE]*0.01, 2),    0)</f>
        <v>0</v>
      </c>
      <c r="V3" s="15">
        <f>IF([PREÇO] &gt; 0,    [LÍQUIDO BASE]-SUMPRODUCT(N([DATA]=NC[[#This Row],[DATA]]),    [IRRF FONTE]),    0)</f>
        <v>-359.98</v>
      </c>
      <c r="W3" s="15">
        <f>[LÍQUIDO]-SUMPRODUCT(N([DATA]=NC[[#This Row],[DATA]]),N([ID]=(NC[[#This Row],[ID]]-1)),[LÍQUIDO])</f>
        <v>-175.99999999999997</v>
      </c>
      <c r="X3" s="15">
        <f t="shared" si="0"/>
        <v>0.43999999999999995</v>
      </c>
      <c r="Y3" s="15">
        <f>TRUNC(IF(OR([T]="CV",[T]="VV"),     L3*SETUP!$H$3,     0),2)</f>
        <v>0</v>
      </c>
      <c r="Z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A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B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3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3" s="15">
        <f>IF([LUCRO TMP] &lt;&gt; 0, [LUCRO TMP] - SUMPRODUCT(N([ATIVO]=NC[[#This Row],[ATIVO]]),N(['[D/N']]="N"),N([ID]&lt;NC[[#This Row],[ID]]),N([PAR]=NC[[#This Row],[PAR]]), [LUCRO TMP]), 0)</f>
        <v>0</v>
      </c>
      <c r="AE3" s="15">
        <f>IF([U] = "U", SUMPRODUCT(N([ID]&lt;=NC[[#This Row],[ID]]),N([DATA BASE]=NC[[#This Row],[DATA BASE]]), N(['[D/N']] = "N"),    [LUCRO P/ OP]), 0)</f>
        <v>0</v>
      </c>
      <c r="AF3" s="15">
        <f>IF([U] = "U",[LUCRO '[N']] + SUMPRODUCT(N(MONTH([DATA BASE])=MONTH(NC[[#This Row],[DATA BASE]]) - 1), [LUCRO '[N']]),0)</f>
        <v>0</v>
      </c>
      <c r="AG3" s="15">
        <f>IF([U] = "U", SUMPRODUCT(N([DATA BASE]=NC[[#This Row],[DATA BASE]]), N(['[D/N']] = "D"),    [LUCRO P/ OP]), 0)</f>
        <v>0</v>
      </c>
      <c r="AH3" s="19">
        <f>IF([ TRIB. '[N']] &gt; 0,     ROUND([ TRIB. '[N']]*0.15,    2),    0)</f>
        <v>0</v>
      </c>
      <c r="AI3" s="19">
        <f>IF([LUCRO TRIB. DT] &gt; 0,     ROUND([LUCRO TRIB. DT]*0.2,    2)  -  SUMPRODUCT(N([DATA BASE]=NC[[#This Row],[DATA BASE]]),    [IRRF FONTE]),    0)</f>
        <v>0</v>
      </c>
      <c r="AJ3" s="19">
        <f>[IR '[N']] + [IR DEVIDO DT]</f>
        <v>0</v>
      </c>
      <c r="AK3" s="19">
        <f>IF(AND([U] = "U",[IR DEVIDO] &gt; 0), [IR DEVIDO] + 8.9, 0)</f>
        <v>0</v>
      </c>
      <c r="AL3" s="19">
        <f>[LUCRO '[N']]  + [LUCRO TRIB. DT] - [RESGATE]</f>
        <v>0</v>
      </c>
    </row>
    <row r="4" spans="1:38" ht="11.25" customHeight="1">
      <c r="A4" s="13">
        <v>3</v>
      </c>
      <c r="B4" s="13"/>
      <c r="C4" s="13" t="s">
        <v>31</v>
      </c>
      <c r="D4" s="13" t="s">
        <v>25</v>
      </c>
      <c r="E4" s="14">
        <v>40981</v>
      </c>
      <c r="F4" s="13">
        <v>1200</v>
      </c>
      <c r="G4" s="15">
        <v>0.19</v>
      </c>
      <c r="H4" s="13" t="s">
        <v>14</v>
      </c>
      <c r="I4" s="14">
        <f>WORKDAY(NC[[#This Row],[DATA]],1,0)</f>
        <v>40982</v>
      </c>
      <c r="J4" s="21">
        <f>EOMONTH(NC[[#This Row],[DATA DE LIQUIDAÇÃO]],0)</f>
        <v>40999</v>
      </c>
      <c r="K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4" s="15">
        <f>[QTDE]*[PREÇO]</f>
        <v>228</v>
      </c>
      <c r="M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N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Q4" s="15">
        <f>SETUP!$E$3*SUMPRODUCT(N([DATA]=NC[[#This Row],[DATA]]),N([ID]&lt;=NC[[#This Row],[ID]]))</f>
        <v>14.9</v>
      </c>
      <c r="R4" s="15">
        <f>TRUNC([CORRETAGEM]*SETUP!$F$3,2)</f>
        <v>0.28999999999999998</v>
      </c>
      <c r="S4" s="15">
        <f>ROUND([CORRETAGEM]*SETUP!$G$3,2)</f>
        <v>0.57999999999999996</v>
      </c>
      <c r="T4" s="15">
        <f>[VALOR LÍQUIDO DAS OPERAÇÕES]-[TAXA DE LIQUIDAÇÃO]-[EMOLUMENTOS]-[TAXA DE REGISTRO]-[CORRETAGEM]-[ISS]-IF(['[D/N']]="D",    0,    [OUTRAS BOVESPA])</f>
        <v>-243.28</v>
      </c>
      <c r="U4" s="15">
        <f>IF(AND(['[D/N']]="D",    [T]="CV"),    ROUND([LÍQUIDO BASE]*0.01, 2),    0)</f>
        <v>0</v>
      </c>
      <c r="V4" s="15">
        <f>IF([PREÇO] &gt; 0,    [LÍQUIDO BASE]-SUMPRODUCT(N([DATA]=NC[[#This Row],[DATA]]),    [IRRF FONTE]),    0)</f>
        <v>-245.25</v>
      </c>
      <c r="W4" s="15">
        <f>[LÍQUIDO]-SUMPRODUCT(N([DATA]=NC[[#This Row],[DATA]]),N([ID]=(NC[[#This Row],[ID]]-1)),[LÍQUIDO])</f>
        <v>-245.25</v>
      </c>
      <c r="X4" s="15">
        <f t="shared" si="0"/>
        <v>0.204375</v>
      </c>
      <c r="Y4" s="15">
        <f>TRUNC(IF(OR([T]="CV",[T]="VV"),     L4*SETUP!$H$3,     0),2)</f>
        <v>0</v>
      </c>
      <c r="Z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B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4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4" s="15">
        <f>IF([LUCRO TMP] &lt;&gt; 0, [LUCRO TMP] - SUMPRODUCT(N([ATIVO]=NC[[#This Row],[ATIVO]]),N(['[D/N']]="N"),N([ID]&lt;NC[[#This Row],[ID]]),N([PAR]=NC[[#This Row],[PAR]]), [LUCRO TMP]), 0)</f>
        <v>0</v>
      </c>
      <c r="AE4" s="15">
        <f>IF([U] = "U", SUMPRODUCT(N([ID]&lt;=NC[[#This Row],[ID]]),N([DATA BASE]=NC[[#This Row],[DATA BASE]]), N(['[D/N']] = "N"),    [LUCRO P/ OP]), 0)</f>
        <v>0</v>
      </c>
      <c r="AF4" s="15">
        <f>IF([U] = "U",[LUCRO '[N']] + SUMPRODUCT(N(MONTH([DATA BASE])=MONTH(NC[[#This Row],[DATA BASE]]) - 1), [LUCRO '[N']]),0)</f>
        <v>0</v>
      </c>
      <c r="AG4" s="15">
        <f>IF([U] = "U", SUMPRODUCT(N([DATA BASE]=NC[[#This Row],[DATA BASE]]), N(['[D/N']] = "D"),    [LUCRO P/ OP]), 0)</f>
        <v>0</v>
      </c>
      <c r="AH4" s="20">
        <f>IF([ TRIB. '[N']] &gt; 0,     ROUND([ TRIB. '[N']]*0.15,    2),    0)</f>
        <v>0</v>
      </c>
      <c r="AI4" s="20">
        <f>IF([LUCRO TRIB. DT] &gt; 0,     ROUND([LUCRO TRIB. DT]*0.2,    2)  -  SUMPRODUCT(N([DATA BASE]=NC[[#This Row],[DATA BASE]]),    [IRRF FONTE]),    0)</f>
        <v>0</v>
      </c>
      <c r="AJ4" s="19">
        <f>[IR '[N']] + [IR DEVIDO DT]</f>
        <v>0</v>
      </c>
      <c r="AK4" s="19">
        <f>IF(AND([U] = "U",[IR DEVIDO] &gt; 0), [IR DEVIDO] + 8.9, 0)</f>
        <v>0</v>
      </c>
      <c r="AL4" s="19">
        <f>[LUCRO '[N']]  + [LUCRO TRIB. DT] - [RESGATE]</f>
        <v>0</v>
      </c>
    </row>
    <row r="5" spans="1:38" ht="11.25" customHeight="1">
      <c r="A5" s="13">
        <v>4</v>
      </c>
      <c r="B5" s="13"/>
      <c r="C5" s="13" t="s">
        <v>31</v>
      </c>
      <c r="D5" s="13" t="s">
        <v>26</v>
      </c>
      <c r="E5" s="14">
        <v>40981</v>
      </c>
      <c r="F5" s="13">
        <v>1200</v>
      </c>
      <c r="G5" s="15">
        <v>0.38</v>
      </c>
      <c r="H5" s="13" t="s">
        <v>14</v>
      </c>
      <c r="I5" s="14">
        <f>WORKDAY(NC[[#This Row],[DATA]],1,0)</f>
        <v>40982</v>
      </c>
      <c r="J5" s="21">
        <f>EOMONTH(NC[[#This Row],[DATA DE LIQUIDAÇÃO]],0)</f>
        <v>40999</v>
      </c>
      <c r="K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5" s="15">
        <f>[QTDE]*[PREÇO]</f>
        <v>456</v>
      </c>
      <c r="M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N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P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Q5" s="15">
        <f>SETUP!$E$3*SUMPRODUCT(N([DATA]=NC[[#This Row],[DATA]]),N([ID]&lt;=NC[[#This Row],[ID]]))</f>
        <v>29.8</v>
      </c>
      <c r="R5" s="15">
        <f>TRUNC([CORRETAGEM]*SETUP!$F$3,2)</f>
        <v>0.59</v>
      </c>
      <c r="S5" s="15">
        <f>ROUND([CORRETAGEM]*SETUP!$G$3,2)</f>
        <v>1.1599999999999999</v>
      </c>
      <c r="T5" s="15">
        <f>[VALOR LÍQUIDO DAS OPERAÇÕES]-[TAXA DE LIQUIDAÇÃO]-[EMOLUMENTOS]-[TAXA DE REGISTRO]-[CORRETAGEM]-[ISS]-IF(['[D/N']]="D",    0,    [OUTRAS BOVESPA])</f>
        <v>197.30999999999997</v>
      </c>
      <c r="U5" s="15">
        <f>IF(AND(['[D/N']]="D",    [T]="CV"),    ROUND([LÍQUIDO BASE]*0.01, 2),    0)</f>
        <v>1.97</v>
      </c>
      <c r="V5" s="15">
        <f>IF([PREÇO] &gt; 0,    [LÍQUIDO BASE]-SUMPRODUCT(N([DATA]=NC[[#This Row],[DATA]]),    [IRRF FONTE]),    0)</f>
        <v>195.33999999999997</v>
      </c>
      <c r="W5" s="15">
        <f>[LÍQUIDO]-SUMPRODUCT(N([DATA]=NC[[#This Row],[DATA]]),N([ID]=(NC[[#This Row],[ID]]-1)),[LÍQUIDO])</f>
        <v>440.59</v>
      </c>
      <c r="X5" s="15">
        <f t="shared" si="0"/>
        <v>0.36715833333333331</v>
      </c>
      <c r="Y5" s="15">
        <f>TRUNC(IF(OR([T]="CV",[T]="VV"),     L5*SETUP!$H$3,     0),2)</f>
        <v>0.02</v>
      </c>
      <c r="Z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B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0.36715833333333331</v>
      </c>
      <c r="AC5" s="16">
        <f xml:space="preserve">  IF([PREÇO] &gt; 0,  IF(AND([MED CP] &gt; 0, [MED VD] &gt; 0), ([MED VD] - [MED CP]) * [QTDE], 0),    IF(AND([MED CP] &gt; 0, [MED VD] = 0), ([MED VD] - [MED CP]) * [QTDE], 0)) + [IRRF FONTE]</f>
        <v>197.30999999999997</v>
      </c>
      <c r="AD5" s="15">
        <f>IF([LUCRO TMP] &lt;&gt; 0, [LUCRO TMP] - SUMPRODUCT(N([ATIVO]=NC[[#This Row],[ATIVO]]),N(['[D/N']]="N"),N([ID]&lt;NC[[#This Row],[ID]]),N([PAR]=NC[[#This Row],[PAR]]), [LUCRO TMP]), 0)</f>
        <v>197.30999999999997</v>
      </c>
      <c r="AE5" s="15">
        <f>IF([U] = "U", SUMPRODUCT(N([ID]&lt;=NC[[#This Row],[ID]]),N([DATA BASE]=NC[[#This Row],[DATA BASE]]), N(['[D/N']] = "N"),    [LUCRO P/ OP]), 0)</f>
        <v>0</v>
      </c>
      <c r="AF5" s="15">
        <f>IF([U] = "U",[LUCRO '[N']] + SUMPRODUCT(N(MONTH([DATA BASE])=MONTH(NC[[#This Row],[DATA BASE]]) - 1), [LUCRO '[N']]),0)</f>
        <v>0</v>
      </c>
      <c r="AG5" s="15">
        <f>IF([U] = "U", SUMPRODUCT(N([DATA BASE]=NC[[#This Row],[DATA BASE]]), N(['[D/N']] = "D"),    [LUCRO P/ OP]), 0)</f>
        <v>0</v>
      </c>
      <c r="AH5" s="20">
        <f>IF([ TRIB. '[N']] &gt; 0,     ROUND([ TRIB. '[N']]*0.15,    2),    0)</f>
        <v>0</v>
      </c>
      <c r="AI5" s="20">
        <f>IF([LUCRO TRIB. DT] &gt; 0,     ROUND([LUCRO TRIB. DT]*0.2,    2)  -  SUMPRODUCT(N([DATA BASE]=NC[[#This Row],[DATA BASE]]),    [IRRF FONTE]),    0)</f>
        <v>0</v>
      </c>
      <c r="AJ5" s="19">
        <f>[IR '[N']] + [IR DEVIDO DT]</f>
        <v>0</v>
      </c>
      <c r="AK5" s="19">
        <f>IF(AND([U] = "U",[IR DEVIDO] &gt; 0), [IR DEVIDO] + 8.9, 0)</f>
        <v>0</v>
      </c>
      <c r="AL5" s="19">
        <f>[LUCRO '[N']]  + [LUCRO TRIB. DT] - [RESGATE]</f>
        <v>0</v>
      </c>
    </row>
    <row r="6" spans="1:38" ht="11.25" customHeight="1">
      <c r="A6" s="13">
        <v>5</v>
      </c>
      <c r="B6" s="13"/>
      <c r="C6" s="13" t="s">
        <v>30</v>
      </c>
      <c r="D6" s="13" t="s">
        <v>26</v>
      </c>
      <c r="E6" s="14">
        <v>40981</v>
      </c>
      <c r="F6" s="13">
        <v>400</v>
      </c>
      <c r="G6" s="15">
        <v>0.8</v>
      </c>
      <c r="H6" s="13" t="s">
        <v>6</v>
      </c>
      <c r="I6" s="14">
        <f>WORKDAY(NC[[#This Row],[DATA]],1,0)</f>
        <v>40982</v>
      </c>
      <c r="J6" s="21">
        <f>EOMONTH(NC[[#This Row],[DATA DE LIQUIDAÇÃO]],0)</f>
        <v>40999</v>
      </c>
      <c r="K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6" s="15">
        <f>[QTDE]*[PREÇO]</f>
        <v>320</v>
      </c>
      <c r="M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N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0.21</v>
      </c>
      <c r="O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P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Q6" s="15">
        <f>SETUP!$E$3*SUMPRODUCT(N([DATA]=NC[[#This Row],[DATA]]),N([ID]&lt;=NC[[#This Row],[ID]]))</f>
        <v>44.7</v>
      </c>
      <c r="R6" s="15">
        <f>TRUNC([CORRETAGEM]*SETUP!$F$3,2)</f>
        <v>0.89</v>
      </c>
      <c r="S6" s="15">
        <f>ROUND([CORRETAGEM]*SETUP!$G$3,2)</f>
        <v>1.74</v>
      </c>
      <c r="T6" s="15">
        <f>[VALOR LÍQUIDO DAS OPERAÇÕES]-[TAXA DE LIQUIDAÇÃO]-[EMOLUMENTOS]-[TAXA DE REGISTRO]-[CORRETAGEM]-[ISS]-IF(['[D/N']]="D",    0,    [OUTRAS BOVESPA])</f>
        <v>499.93999999999988</v>
      </c>
      <c r="U6" s="15">
        <f>IF(AND(['[D/N']]="D",    [T]="CV"),    ROUND([LÍQUIDO BASE]*0.01, 2),    0)</f>
        <v>0</v>
      </c>
      <c r="V6" s="15">
        <f>IF([PREÇO] &gt; 0,    [LÍQUIDO BASE]-SUMPRODUCT(N([DATA]=NC[[#This Row],[DATA]]),    [IRRF FONTE]),    0)</f>
        <v>497.96999999999986</v>
      </c>
      <c r="W6" s="15">
        <f>[LÍQUIDO]-SUMPRODUCT(N([DATA]=NC[[#This Row],[DATA]]),N([ID]=(NC[[#This Row],[ID]]-1)),[LÍQUIDO])</f>
        <v>302.62999999999988</v>
      </c>
      <c r="X6" s="15">
        <f t="shared" si="0"/>
        <v>0.75657499999999966</v>
      </c>
      <c r="Y6" s="15">
        <f>TRUNC(IF(OR([T]="CV",[T]="VV"),     L6*SETUP!$H$3,     0),2)</f>
        <v>0.01</v>
      </c>
      <c r="Z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B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0.75657499999999966</v>
      </c>
      <c r="AC6" s="16">
        <f xml:space="preserve">  IF([PREÇO] &gt; 0,  IF(AND([MED CP] &gt; 0, [MED VD] &gt; 0), ([MED VD] - [MED CP]) * [QTDE], 0),    IF(AND([MED CP] &gt; 0, [MED VD] = 0), ([MED VD] - [MED CP]) * [QTDE], 0)) + [IRRF FONTE]</f>
        <v>126.62999999999988</v>
      </c>
      <c r="AD6" s="15">
        <f>IF([LUCRO TMP] &lt;&gt; 0, [LUCRO TMP] - SUMPRODUCT(N([ATIVO]=NC[[#This Row],[ATIVO]]),N(['[D/N']]="N"),N([ID]&lt;NC[[#This Row],[ID]]),N([PAR]=NC[[#This Row],[PAR]]), [LUCRO TMP]), 0)</f>
        <v>126.62999999999988</v>
      </c>
      <c r="AE6" s="15">
        <f>IF([U] = "U", SUMPRODUCT(N([ID]&lt;=NC[[#This Row],[ID]]),N([DATA BASE]=NC[[#This Row],[DATA BASE]]), N(['[D/N']] = "N"),    [LUCRO P/ OP]), 0)</f>
        <v>0</v>
      </c>
      <c r="AF6" s="15">
        <f>IF([U] = "U",[LUCRO '[N']] + SUMPRODUCT(N(MONTH([DATA BASE])=MONTH(NC[[#This Row],[DATA BASE]]) - 1), [LUCRO '[N']]),0)</f>
        <v>0</v>
      </c>
      <c r="AG6" s="15">
        <f>IF([U] = "U", SUMPRODUCT(N([DATA BASE]=NC[[#This Row],[DATA BASE]]), N(['[D/N']] = "D"),    [LUCRO P/ OP]), 0)</f>
        <v>0</v>
      </c>
      <c r="AH6" s="20">
        <f>IF([ TRIB. '[N']] &gt; 0,     ROUND([ TRIB. '[N']]*0.15,    2),    0)</f>
        <v>0</v>
      </c>
      <c r="AI6" s="20">
        <f>IF([LUCRO TRIB. DT] &gt; 0,     ROUND([LUCRO TRIB. DT]*0.2,    2)  -  SUMPRODUCT(N([DATA BASE]=NC[[#This Row],[DATA BASE]]),    [IRRF FONTE]),    0)</f>
        <v>0</v>
      </c>
      <c r="AJ6" s="19">
        <f>[IR '[N']] + [IR DEVIDO DT]</f>
        <v>0</v>
      </c>
      <c r="AK6" s="19">
        <f>IF(AND([U] = "U",[IR DEVIDO] &gt; 0), [IR DEVIDO] + 8.9, 0)</f>
        <v>0</v>
      </c>
      <c r="AL6" s="19">
        <f>[LUCRO '[N']]  + [LUCRO TRIB. DT] - [RESGATE]</f>
        <v>0</v>
      </c>
    </row>
    <row r="7" spans="1:38">
      <c r="A7" s="13">
        <v>6</v>
      </c>
      <c r="B7" s="13"/>
      <c r="C7" s="13" t="s">
        <v>32</v>
      </c>
      <c r="D7" s="13" t="s">
        <v>25</v>
      </c>
      <c r="E7" s="14">
        <v>40981</v>
      </c>
      <c r="F7" s="13">
        <v>200</v>
      </c>
      <c r="G7" s="15">
        <v>0.8</v>
      </c>
      <c r="H7" s="13" t="s">
        <v>6</v>
      </c>
      <c r="I7" s="14">
        <f>WORKDAY(NC[[#This Row],[DATA]],1,0)</f>
        <v>40982</v>
      </c>
      <c r="J7" s="21">
        <f>EOMONTH(NC[[#This Row],[DATA DE LIQUIDAÇÃO]],0)</f>
        <v>40999</v>
      </c>
      <c r="K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7" s="15">
        <f>[QTDE]*[PREÇO]</f>
        <v>160</v>
      </c>
      <c r="M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N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O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P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Q7" s="15">
        <f>SETUP!$E$3*SUMPRODUCT(N([DATA]=NC[[#This Row],[DATA]]),N([ID]&lt;=NC[[#This Row],[ID]]))</f>
        <v>59.6</v>
      </c>
      <c r="R7" s="15">
        <f>TRUNC([CORRETAGEM]*SETUP!$F$3,2)</f>
        <v>1.19</v>
      </c>
      <c r="S7" s="15">
        <f>ROUND([CORRETAGEM]*SETUP!$G$3,2)</f>
        <v>2.3199999999999998</v>
      </c>
      <c r="T7" s="15">
        <f>[VALOR LÍQUIDO DAS OPERAÇÕES]-[TAXA DE LIQUIDAÇÃO]-[EMOLUMENTOS]-[TAXA DE REGISTRO]-[CORRETAGEM]-[ISS]-IF(['[D/N']]="D",    0,    [OUTRAS BOVESPA])</f>
        <v>323.95999999999998</v>
      </c>
      <c r="U7" s="15">
        <f>IF(AND(['[D/N']]="D",    [T]="CV"),    ROUND([LÍQUIDO BASE]*0.01, 2),    0)</f>
        <v>0</v>
      </c>
      <c r="V7" s="15">
        <f>IF([PREÇO] &gt; 0,    [LÍQUIDO BASE]-SUMPRODUCT(N([DATA]=NC[[#This Row],[DATA]]),    [IRRF FONTE]),    0)</f>
        <v>321.98999999999995</v>
      </c>
      <c r="W7" s="15">
        <f>[LÍQUIDO]-SUMPRODUCT(N([DATA]=NC[[#This Row],[DATA]]),N([ID]=(NC[[#This Row],[ID]]-1)),[LÍQUIDO])</f>
        <v>-175.9799999999999</v>
      </c>
      <c r="X7" s="15">
        <f t="shared" si="0"/>
        <v>0.87989999999999957</v>
      </c>
      <c r="Y7" s="15">
        <f>TRUNC(IF(OR([T]="CV",[T]="VV"),     L7*SETUP!$H$3,     0),2)</f>
        <v>0</v>
      </c>
      <c r="Z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A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B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7" s="19">
        <f xml:space="preserve">  IF([PREÇO] &gt; 0,  IF(AND([MED CP] &gt; 0, [MED VD] &gt; 0), ([MED VD] - [MED CP]) * [QTDE], 0),    IF(AND([MED CP] &gt; 0, [MED VD] = 0), ([MED VD] - [MED CP]) * [QTDE], 0)) + [IRRF FONTE]</f>
        <v>0</v>
      </c>
      <c r="AD7" s="15">
        <f>IF([LUCRO TMP] &lt;&gt; 0, [LUCRO TMP] - SUMPRODUCT(N([ATIVO]=NC[[#This Row],[ATIVO]]),N(['[D/N']]="N"),N([ID]&lt;NC[[#This Row],[ID]]),N([PAR]=NC[[#This Row],[PAR]]), [LUCRO TMP]), 0)</f>
        <v>0</v>
      </c>
      <c r="AE7" s="15">
        <f>IF([U] = "U", SUMPRODUCT(N([ID]&lt;=NC[[#This Row],[ID]]),N([DATA BASE]=NC[[#This Row],[DATA BASE]]), N(['[D/N']] = "N"),    [LUCRO P/ OP]), 0)</f>
        <v>0</v>
      </c>
      <c r="AF7" s="15">
        <f>IF([U] = "U",[LUCRO '[N']] + SUMPRODUCT(N(MONTH([DATA BASE])=MONTH(NC[[#This Row],[DATA BASE]]) - 1), [LUCRO '[N']]),0)</f>
        <v>0</v>
      </c>
      <c r="AG7" s="15">
        <f>IF([U] = "U", SUMPRODUCT(N([DATA BASE]=NC[[#This Row],[DATA BASE]]), N(['[D/N']] = "D"),    [LUCRO P/ OP]), 0)</f>
        <v>0</v>
      </c>
      <c r="AH7" s="20">
        <f>IF([ TRIB. '[N']] &gt; 0,     ROUND([ TRIB. '[N']]*0.15,    2),    0)</f>
        <v>0</v>
      </c>
      <c r="AI7" s="20">
        <f>IF([LUCRO TRIB. DT] &gt; 0,     ROUND([LUCRO TRIB. DT]*0.2,    2)  -  SUMPRODUCT(N([DATA BASE]=NC[[#This Row],[DATA BASE]]),    [IRRF FONTE]),    0)</f>
        <v>0</v>
      </c>
      <c r="AJ7" s="19">
        <f>[IR '[N']] + [IR DEVIDO DT]</f>
        <v>0</v>
      </c>
      <c r="AK7" s="19">
        <f>IF(AND([U] = "U",[IR DEVIDO] &gt; 0), [IR DEVIDO] + 8.9, 0)</f>
        <v>0</v>
      </c>
      <c r="AL7" s="19">
        <f>[LUCRO '[N']]  + [LUCRO TRIB. DT] - [RESGATE]</f>
        <v>0</v>
      </c>
    </row>
    <row r="8" spans="1:38" ht="11.25" customHeight="1">
      <c r="A8" s="13">
        <v>7</v>
      </c>
      <c r="B8" s="13"/>
      <c r="C8" s="13" t="s">
        <v>29</v>
      </c>
      <c r="D8" s="13" t="s">
        <v>26</v>
      </c>
      <c r="E8" s="14">
        <v>40981</v>
      </c>
      <c r="F8" s="13">
        <v>600</v>
      </c>
      <c r="G8" s="15">
        <v>0.56000000000000005</v>
      </c>
      <c r="H8" s="13" t="s">
        <v>6</v>
      </c>
      <c r="I8" s="14">
        <f>WORKDAY(NC[[#This Row],[DATA]],1,0)</f>
        <v>40982</v>
      </c>
      <c r="J8" s="21">
        <f>EOMONTH(NC[[#This Row],[DATA DE LIQUIDAÇÃO]],0)</f>
        <v>40999</v>
      </c>
      <c r="K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8" s="15">
        <f>[QTDE]*[PREÇO]</f>
        <v>336.00000000000006</v>
      </c>
      <c r="M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N8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0.34</v>
      </c>
      <c r="O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P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Q8" s="15">
        <f>SETUP!$E$3*SUMPRODUCT(N([DATA]=NC[[#This Row],[DATA]]),N([ID]&lt;=NC[[#This Row],[ID]]))</f>
        <v>74.5</v>
      </c>
      <c r="R8" s="15">
        <f>TRUNC([CORRETAGEM]*SETUP!$F$3,2)</f>
        <v>1.49</v>
      </c>
      <c r="S8" s="15">
        <f>ROUND([CORRETAGEM]*SETUP!$G$3,2)</f>
        <v>2.91</v>
      </c>
      <c r="T8" s="15">
        <f>[VALOR LÍQUIDO DAS OPERAÇÕES]-[TAXA DE LIQUIDAÇÃO]-[EMOLUMENTOS]-[TAXA DE REGISTRO]-[CORRETAGEM]-[ISS]-IF(['[D/N']]="D",    0,    [OUTRAS BOVESPA])</f>
        <v>643.72</v>
      </c>
      <c r="U8" s="15">
        <f>IF(AND(['[D/N']]="D",    [T]="CV"),    ROUND([LÍQUIDO BASE]*0.01, 2),    0)</f>
        <v>0</v>
      </c>
      <c r="V8" s="15">
        <f>IF([PREÇO] &gt; 0,    [LÍQUIDO BASE]-SUMPRODUCT(N([DATA]=NC[[#This Row],[DATA]]),    [IRRF FONTE]),    0)</f>
        <v>641.75</v>
      </c>
      <c r="W8" s="15">
        <f>[LÍQUIDO]-SUMPRODUCT(N([DATA]=NC[[#This Row],[DATA]]),N([ID]=(NC[[#This Row],[ID]]-1)),[LÍQUIDO])</f>
        <v>319.76000000000005</v>
      </c>
      <c r="X8" s="15">
        <f t="shared" si="0"/>
        <v>0.53293333333333337</v>
      </c>
      <c r="Y8" s="15">
        <f>TRUNC(IF(OR([T]="CV",[T]="VV"),     L8*SETUP!$H$3,     0),2)</f>
        <v>0.01</v>
      </c>
      <c r="Z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8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B8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0.53293333333333337</v>
      </c>
      <c r="AC8" s="16">
        <f xml:space="preserve">  IF([PREÇO] &gt; 0,  IF(AND([MED CP] &gt; 0, [MED VD] &gt; 0), ([MED VD] - [MED CP]) * [QTDE], 0),    IF(AND([MED CP] &gt; 0, [MED VD] = 0), ([MED VD] - [MED CP]) * [QTDE], 0)) + [IRRF FONTE]</f>
        <v>135.77999999999997</v>
      </c>
      <c r="AD8" s="15">
        <f>IF([LUCRO TMP] &lt;&gt; 0, [LUCRO TMP] - SUMPRODUCT(N([ATIVO]=NC[[#This Row],[ATIVO]]),N(['[D/N']]="N"),N([ID]&lt;NC[[#This Row],[ID]]),N([PAR]=NC[[#This Row],[PAR]]), [LUCRO TMP]), 0)</f>
        <v>135.77999999999997</v>
      </c>
      <c r="AE8" s="15">
        <f>IF([U] = "U", SUMPRODUCT(N([ID]&lt;=NC[[#This Row],[ID]]),N([DATA BASE]=NC[[#This Row],[DATA BASE]]), N(['[D/N']] = "N"),    [LUCRO P/ OP]), 0)</f>
        <v>0</v>
      </c>
      <c r="AF8" s="15">
        <f>IF([U] = "U",[LUCRO '[N']] + SUMPRODUCT(N(MONTH([DATA BASE])=MONTH(NC[[#This Row],[DATA BASE]]) - 1), [LUCRO '[N']]),0)</f>
        <v>0</v>
      </c>
      <c r="AG8" s="15">
        <f>IF([U] = "U", SUMPRODUCT(N([DATA BASE]=NC[[#This Row],[DATA BASE]]), N(['[D/N']] = "D"),    [LUCRO P/ OP]), 0)</f>
        <v>0</v>
      </c>
      <c r="AH8" s="20">
        <f>IF([ TRIB. '[N']] &gt; 0,     ROUND([ TRIB. '[N']]*0.15,    2),    0)</f>
        <v>0</v>
      </c>
      <c r="AI8" s="20">
        <f>IF([LUCRO TRIB. DT] &gt; 0,     ROUND([LUCRO TRIB. DT]*0.2,    2)  -  SUMPRODUCT(N([DATA BASE]=NC[[#This Row],[DATA BASE]]),    [IRRF FONTE]),    0)</f>
        <v>0</v>
      </c>
      <c r="AJ8" s="19">
        <f>[IR '[N']] + [IR DEVIDO DT]</f>
        <v>0</v>
      </c>
      <c r="AK8" s="19">
        <f>IF(AND([U] = "U",[IR DEVIDO] &gt; 0), [IR DEVIDO] + 8.9, 0)</f>
        <v>0</v>
      </c>
      <c r="AL8" s="19">
        <f>[LUCRO '[N']]  + [LUCRO TRIB. DT] - [RESGATE]</f>
        <v>0</v>
      </c>
    </row>
    <row r="9" spans="1:38" ht="11.25" customHeight="1">
      <c r="A9" s="13">
        <v>8</v>
      </c>
      <c r="B9" s="13"/>
      <c r="C9" s="13" t="s">
        <v>43</v>
      </c>
      <c r="D9" s="13" t="s">
        <v>25</v>
      </c>
      <c r="E9" s="14">
        <v>40982</v>
      </c>
      <c r="F9" s="13">
        <v>2400</v>
      </c>
      <c r="G9" s="15">
        <v>0.13</v>
      </c>
      <c r="H9" s="13" t="s">
        <v>14</v>
      </c>
      <c r="I9" s="14">
        <f>WORKDAY(NC[[#This Row],[DATA]],1,0)</f>
        <v>40983</v>
      </c>
      <c r="J9" s="22">
        <f>EOMONTH(NC[[#This Row],[DATA DE LIQUIDAÇÃO]],0)</f>
        <v>40999</v>
      </c>
      <c r="K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9" s="15">
        <f>[QTDE]*[PREÇO]</f>
        <v>312</v>
      </c>
      <c r="M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N9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0.05</v>
      </c>
      <c r="O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9" s="15">
        <f>SETUP!$E$3*SUMPRODUCT(N([DATA]=NC[[#This Row],[DATA]]),N([ID]&lt;=NC[[#This Row],[ID]]))</f>
        <v>14.9</v>
      </c>
      <c r="R9" s="15">
        <f>TRUNC([CORRETAGEM]*SETUP!$F$3,2)</f>
        <v>0.28999999999999998</v>
      </c>
      <c r="S9" s="15">
        <f>ROUND([CORRETAGEM]*SETUP!$G$3,2)</f>
        <v>0.57999999999999996</v>
      </c>
      <c r="T9" s="15">
        <f>[VALOR LÍQUIDO DAS OPERAÇÕES]-[TAXA DE LIQUIDAÇÃO]-[EMOLUMENTOS]-[TAXA DE REGISTRO]-[CORRETAGEM]-[ISS]-IF(['[D/N']]="D",    0,    [OUTRAS BOVESPA])</f>
        <v>-327.31</v>
      </c>
      <c r="U9" s="15">
        <f>IF(AND(['[D/N']]="D",    [T]="CV"),    ROUND([LÍQUIDO BASE]*0.01, 2),    0)</f>
        <v>0</v>
      </c>
      <c r="V9" s="15">
        <f>IF([PREÇO] &gt; 0,    [LÍQUIDO BASE]-SUMPRODUCT(N([DATA]=NC[[#This Row],[DATA]]),    [IRRF FONTE]),    0)</f>
        <v>-330.12</v>
      </c>
      <c r="W9" s="15">
        <f>[LÍQUIDO]-SUMPRODUCT(N([DATA]=NC[[#This Row],[DATA]]),N([ID]=(NC[[#This Row],[ID]]-1)),[LÍQUIDO])</f>
        <v>-330.12</v>
      </c>
      <c r="X9" s="15">
        <f t="shared" si="0"/>
        <v>0.13755000000000001</v>
      </c>
      <c r="Y9" s="15">
        <f>TRUNC(IF(OR([T]="CV",[T]="VV"),     L9*SETUP!$H$3,     0),2)</f>
        <v>0</v>
      </c>
      <c r="Z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9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B9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9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9" s="15">
        <f>IF([LUCRO TMP] &lt;&gt; 0, [LUCRO TMP] - SUMPRODUCT(N([ATIVO]=NC[[#This Row],[ATIVO]]),N(['[D/N']]="N"),N([ID]&lt;NC[[#This Row],[ID]]),N([PAR]=NC[[#This Row],[PAR]]), [LUCRO TMP]), 0)</f>
        <v>0</v>
      </c>
      <c r="AE9" s="15">
        <f>IF([U] = "U", SUMPRODUCT(N([ID]&lt;=NC[[#This Row],[ID]]),N([DATA BASE]=NC[[#This Row],[DATA BASE]]), N(['[D/N']] = "N"),    [LUCRO P/ OP]), 0)</f>
        <v>0</v>
      </c>
      <c r="AF9" s="15">
        <f>IF([U] = "U",[LUCRO '[N']] + SUMPRODUCT(N(MONTH([DATA BASE])=MONTH(NC[[#This Row],[DATA BASE]]) - 1), [LUCRO '[N']]),0)</f>
        <v>0</v>
      </c>
      <c r="AG9" s="15">
        <f>IF([U] = "U", SUMPRODUCT(N([DATA BASE]=NC[[#This Row],[DATA BASE]]), N(['[D/N']] = "D"),    [LUCRO P/ OP]), 0)</f>
        <v>0</v>
      </c>
      <c r="AH9" s="20">
        <f>IF([ TRIB. '[N']] &gt; 0,     ROUND([ TRIB. '[N']]*0.15,    2),    0)</f>
        <v>0</v>
      </c>
      <c r="AI9" s="19">
        <f>IF([LUCRO TRIB. DT] &gt; 0,     ROUND([LUCRO TRIB. DT]*0.2,    2)  -  SUMPRODUCT(N([DATA BASE]=NC[[#This Row],[DATA BASE]]),    [IRRF FONTE]),    0)</f>
        <v>0</v>
      </c>
      <c r="AJ9" s="19">
        <f>[IR '[N']] + [IR DEVIDO DT]</f>
        <v>0</v>
      </c>
      <c r="AK9" s="19">
        <f>IF(AND([U] = "U",[IR DEVIDO] &gt; 0), [IR DEVIDO] + 8.9, 0)</f>
        <v>0</v>
      </c>
      <c r="AL9" s="19">
        <f>[LUCRO '[N']]  + [LUCRO TRIB. DT] - [RESGATE]</f>
        <v>0</v>
      </c>
    </row>
    <row r="10" spans="1:38" ht="11.25" customHeight="1">
      <c r="A10" s="13">
        <v>9</v>
      </c>
      <c r="B10" s="13"/>
      <c r="C10" s="13" t="s">
        <v>43</v>
      </c>
      <c r="D10" s="13" t="s">
        <v>26</v>
      </c>
      <c r="E10" s="14">
        <v>40982</v>
      </c>
      <c r="F10" s="13">
        <v>2400</v>
      </c>
      <c r="G10" s="15">
        <v>0.26</v>
      </c>
      <c r="H10" s="13" t="s">
        <v>14</v>
      </c>
      <c r="I10" s="14">
        <f>WORKDAY(NC[[#This Row],[DATA]],1,0)</f>
        <v>40983</v>
      </c>
      <c r="J10" s="22">
        <f>EOMONTH(NC[[#This Row],[DATA DE LIQUIDAÇÃO]],0)</f>
        <v>40999</v>
      </c>
      <c r="K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10" s="15">
        <f>[QTDE]*[PREÇO]</f>
        <v>624</v>
      </c>
      <c r="M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N10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P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Q10" s="15">
        <f>SETUP!$E$3*SUMPRODUCT(N([DATA]=NC[[#This Row],[DATA]]),N([ID]&lt;=NC[[#This Row],[ID]]))</f>
        <v>29.8</v>
      </c>
      <c r="R10" s="15">
        <f>TRUNC([CORRETAGEM]*SETUP!$F$3,2)</f>
        <v>0.59</v>
      </c>
      <c r="S10" s="15">
        <f>ROUND([CORRETAGEM]*SETUP!$G$3,2)</f>
        <v>1.1599999999999999</v>
      </c>
      <c r="T10" s="15">
        <f>[VALOR LÍQUIDO DAS OPERAÇÕES]-[TAXA DE LIQUIDAÇÃO]-[EMOLUMENTOS]-[TAXA DE REGISTRO]-[CORRETAGEM]-[ISS]-IF(['[D/N']]="D",    0,    [OUTRAS BOVESPA])</f>
        <v>281.2</v>
      </c>
      <c r="U10" s="15">
        <f>IF(AND(['[D/N']]="D",    [T]="CV"),    ROUND([LÍQUIDO BASE]*0.01, 2),    0)</f>
        <v>2.81</v>
      </c>
      <c r="V10" s="15">
        <f>IF([PREÇO] &gt; 0,    [LÍQUIDO BASE]-SUMPRODUCT(N([DATA]=NC[[#This Row],[DATA]]),    [IRRF FONTE]),    0)</f>
        <v>278.39</v>
      </c>
      <c r="W10" s="15">
        <f>[LÍQUIDO]-SUMPRODUCT(N([DATA]=NC[[#This Row],[DATA]]),N([ID]=(NC[[#This Row],[ID]]-1)),[LÍQUIDO])</f>
        <v>608.51</v>
      </c>
      <c r="X10" s="15">
        <f t="shared" si="0"/>
        <v>0.2535458333333333</v>
      </c>
      <c r="Y10" s="15">
        <f>TRUNC(IF(OR([T]="CV",[T]="VV"),     L10*SETUP!$H$3,     0),2)</f>
        <v>0.03</v>
      </c>
      <c r="Z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0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B10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0.2535458333333333</v>
      </c>
      <c r="AC10" s="16">
        <f xml:space="preserve">  IF([PREÇO] &gt; 0,  IF(AND([MED CP] &gt; 0, [MED VD] &gt; 0), ([MED VD] - [MED CP]) * [QTDE], 0),    IF(AND([MED CP] &gt; 0, [MED VD] = 0), ([MED VD] - [MED CP]) * [QTDE], 0)) + [IRRF FONTE]</f>
        <v>281.19999999999993</v>
      </c>
      <c r="AD10" s="15">
        <f>IF([LUCRO TMP] &lt;&gt; 0, [LUCRO TMP] - SUMPRODUCT(N([ATIVO]=NC[[#This Row],[ATIVO]]),N(['[D/N']]="N"),N([ID]&lt;NC[[#This Row],[ID]]),N([PAR]=NC[[#This Row],[PAR]]), [LUCRO TMP]), 0)</f>
        <v>281.19999999999993</v>
      </c>
      <c r="AE10" s="15">
        <f>IF([U] = "U", SUMPRODUCT(N([ID]&lt;=NC[[#This Row],[ID]]),N([DATA BASE]=NC[[#This Row],[DATA BASE]]), N(['[D/N']] = "N"),    [LUCRO P/ OP]), 0)</f>
        <v>0</v>
      </c>
      <c r="AF10" s="15">
        <f>IF([U] = "U",[LUCRO '[N']] + SUMPRODUCT(N(MONTH([DATA BASE])=MONTH(NC[[#This Row],[DATA BASE]]) - 1), [LUCRO '[N']]),0)</f>
        <v>0</v>
      </c>
      <c r="AG10" s="15">
        <f>IF([U] = "U", SUMPRODUCT(N([DATA BASE]=NC[[#This Row],[DATA BASE]]), N(['[D/N']] = "D"),    [LUCRO P/ OP]), 0)</f>
        <v>0</v>
      </c>
      <c r="AH10" s="20">
        <f>IF([ TRIB. '[N']] &gt; 0,     ROUND([ TRIB. '[N']]*0.15,    2),    0)</f>
        <v>0</v>
      </c>
      <c r="AI10" s="19">
        <f>IF([LUCRO TRIB. DT] &gt; 0,     ROUND([LUCRO TRIB. DT]*0.2,    2)  -  SUMPRODUCT(N([DATA BASE]=NC[[#This Row],[DATA BASE]]),    [IRRF FONTE]),    0)</f>
        <v>0</v>
      </c>
      <c r="AJ10" s="19">
        <f>[IR '[N']] + [IR DEVIDO DT]</f>
        <v>0</v>
      </c>
      <c r="AK10" s="19">
        <f>IF(AND([U] = "U",[IR DEVIDO] &gt; 0), [IR DEVIDO] + 8.9, 0)</f>
        <v>0</v>
      </c>
      <c r="AL10" s="19">
        <f>[LUCRO '[N']]  + [LUCRO TRIB. DT] - [RESGATE]</f>
        <v>0</v>
      </c>
    </row>
    <row r="11" spans="1:38" ht="11.25" customHeight="1">
      <c r="A11" s="13">
        <v>10</v>
      </c>
      <c r="B11" s="13"/>
      <c r="C11" s="13" t="s">
        <v>44</v>
      </c>
      <c r="D11" s="13" t="s">
        <v>25</v>
      </c>
      <c r="E11" s="14">
        <v>40982</v>
      </c>
      <c r="F11" s="13">
        <v>800</v>
      </c>
      <c r="G11" s="15">
        <v>0.39</v>
      </c>
      <c r="H11" s="13" t="s">
        <v>6</v>
      </c>
      <c r="I11" s="14">
        <f>WORKDAY(NC[[#This Row],[DATA]],1,0)</f>
        <v>40983</v>
      </c>
      <c r="J11" s="22">
        <f>EOMONTH(NC[[#This Row],[DATA DE LIQUIDAÇÃO]],0)</f>
        <v>40999</v>
      </c>
      <c r="K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1" s="15">
        <f>[QTDE]*[PREÇO]</f>
        <v>312</v>
      </c>
      <c r="M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11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0.25</v>
      </c>
      <c r="O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P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Q11" s="15">
        <f>SETUP!$E$3*SUMPRODUCT(N([DATA]=NC[[#This Row],[DATA]]),N([ID]&lt;=NC[[#This Row],[ID]]))</f>
        <v>44.7</v>
      </c>
      <c r="R11" s="15">
        <f>TRUNC([CORRETAGEM]*SETUP!$F$3,2)</f>
        <v>0.89</v>
      </c>
      <c r="S11" s="15">
        <f>ROUND([CORRETAGEM]*SETUP!$G$3,2)</f>
        <v>1.74</v>
      </c>
      <c r="T11" s="15">
        <f>[VALOR LÍQUIDO DAS OPERAÇÕES]-[TAXA DE LIQUIDAÇÃO]-[EMOLUMENTOS]-[TAXA DE REGISTRO]-[CORRETAGEM]-[ISS]-IF(['[D/N']]="D",    0,    [OUTRAS BOVESPA])</f>
        <v>-48.150000000000006</v>
      </c>
      <c r="U11" s="15">
        <f>IF(AND(['[D/N']]="D",    [T]="CV"),    ROUND([LÍQUIDO BASE]*0.01, 2),    0)</f>
        <v>0</v>
      </c>
      <c r="V11" s="15">
        <f>IF([PREÇO] &gt; 0,    [LÍQUIDO BASE]-SUMPRODUCT(N([DATA]=NC[[#This Row],[DATA]]),    [IRRF FONTE]),    0)</f>
        <v>-50.960000000000008</v>
      </c>
      <c r="W11" s="15">
        <f>[LÍQUIDO]-SUMPRODUCT(N([DATA]=NC[[#This Row],[DATA]]),N([ID]=(NC[[#This Row],[ID]]-1)),[LÍQUIDO])</f>
        <v>-329.35</v>
      </c>
      <c r="X11" s="15">
        <f t="shared" si="0"/>
        <v>0.41168750000000004</v>
      </c>
      <c r="Y11" s="15">
        <f>TRUNC(IF(OR([T]="CV",[T]="VV"),     L11*SETUP!$H$3,     0),2)</f>
        <v>0</v>
      </c>
      <c r="Z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11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B11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1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11" s="15">
        <f>IF([LUCRO TMP] &lt;&gt; 0, [LUCRO TMP] - SUMPRODUCT(N([ATIVO]=NC[[#This Row],[ATIVO]]),N(['[D/N']]="N"),N([ID]&lt;NC[[#This Row],[ID]]),N([PAR]=NC[[#This Row],[PAR]]), [LUCRO TMP]), 0)</f>
        <v>0</v>
      </c>
      <c r="AE11" s="15">
        <f>IF([U] = "U", SUMPRODUCT(N([ID]&lt;=NC[[#This Row],[ID]]),N([DATA BASE]=NC[[#This Row],[DATA BASE]]), N(['[D/N']] = "N"),    [LUCRO P/ OP]), 0)</f>
        <v>0</v>
      </c>
      <c r="AF11" s="15">
        <f>IF([U] = "U",[LUCRO '[N']] + SUMPRODUCT(N(MONTH([DATA BASE])=MONTH(NC[[#This Row],[DATA BASE]]) - 1), [LUCRO '[N']]),0)</f>
        <v>0</v>
      </c>
      <c r="AG11" s="15">
        <f>IF([U] = "U", SUMPRODUCT(N([DATA BASE]=NC[[#This Row],[DATA BASE]]), N(['[D/N']] = "D"),    [LUCRO P/ OP]), 0)</f>
        <v>0</v>
      </c>
      <c r="AH11" s="19">
        <f>IF([ TRIB. '[N']] &gt; 0,     ROUND([ TRIB. '[N']]*0.15,    2),    0)</f>
        <v>0</v>
      </c>
      <c r="AI11" s="19">
        <f>IF([LUCRO TRIB. DT] &gt; 0,     ROUND([LUCRO TRIB. DT]*0.2,    2)  -  SUMPRODUCT(N([DATA BASE]=NC[[#This Row],[DATA BASE]]),    [IRRF FONTE]),    0)</f>
        <v>0</v>
      </c>
      <c r="AJ11" s="19">
        <f>[IR '[N']] + [IR DEVIDO DT]</f>
        <v>0</v>
      </c>
      <c r="AK11" s="19">
        <f>IF(AND([U] = "U",[IR DEVIDO] &gt; 0), [IR DEVIDO] + 8.9, 0)</f>
        <v>0</v>
      </c>
      <c r="AL11" s="19">
        <f>[LUCRO '[N']]  + [LUCRO TRIB. DT] - [RESGATE]</f>
        <v>0</v>
      </c>
    </row>
    <row r="12" spans="1:38" ht="11.25" customHeight="1">
      <c r="A12" s="13">
        <v>11</v>
      </c>
      <c r="B12" s="13"/>
      <c r="C12" s="13" t="s">
        <v>46</v>
      </c>
      <c r="D12" s="13" t="s">
        <v>25</v>
      </c>
      <c r="E12" s="14">
        <v>40983</v>
      </c>
      <c r="F12" s="13">
        <v>500</v>
      </c>
      <c r="G12" s="15">
        <v>0.72</v>
      </c>
      <c r="H12" s="13" t="s">
        <v>6</v>
      </c>
      <c r="I12" s="14">
        <f>WORKDAY(NC[[#This Row],[DATA]],1,0)</f>
        <v>40984</v>
      </c>
      <c r="J12" s="22">
        <f>EOMONTH(NC[[#This Row],[DATA DE LIQUIDAÇÃO]],0)</f>
        <v>40999</v>
      </c>
      <c r="K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2" s="15">
        <f>[QTDE]*[PREÇO]</f>
        <v>360</v>
      </c>
      <c r="M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N1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0.09</v>
      </c>
      <c r="O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P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Q12" s="15">
        <f>SETUP!$E$3*SUMPRODUCT(N([DATA]=NC[[#This Row],[DATA]]),N([ID]&lt;=NC[[#This Row],[ID]]))</f>
        <v>14.9</v>
      </c>
      <c r="R12" s="15">
        <f>TRUNC([CORRETAGEM]*SETUP!$F$3,2)</f>
        <v>0.28999999999999998</v>
      </c>
      <c r="S12" s="15">
        <f>ROUND([CORRETAGEM]*SETUP!$G$3,2)</f>
        <v>0.57999999999999996</v>
      </c>
      <c r="T12" s="15">
        <f>[VALOR LÍQUIDO DAS OPERAÇÕES]-[TAXA DE LIQUIDAÇÃO]-[EMOLUMENTOS]-[TAXA DE REGISTRO]-[CORRETAGEM]-[ISS]-IF(['[D/N']]="D",    0,    [OUTRAS BOVESPA])</f>
        <v>-376.23999999999995</v>
      </c>
      <c r="U12" s="15">
        <f>IF(AND(['[D/N']]="D",    [T]="CV"),    ROUND([LÍQUIDO BASE]*0.01, 2),    0)</f>
        <v>0</v>
      </c>
      <c r="V12" s="15">
        <f>IF([PREÇO] &gt; 0,    [LÍQUIDO BASE]-SUMPRODUCT(N([DATA]=NC[[#This Row],[DATA]]),    [IRRF FONTE]),    0)</f>
        <v>-376.23999999999995</v>
      </c>
      <c r="W12" s="15">
        <f>[LÍQUIDO]-SUMPRODUCT(N([DATA]=NC[[#This Row],[DATA]]),N([ID]=(NC[[#This Row],[ID]]-1)),[LÍQUIDO])</f>
        <v>-376.23999999999995</v>
      </c>
      <c r="X12" s="15">
        <f t="shared" si="0"/>
        <v>0.75247999999999993</v>
      </c>
      <c r="Y12" s="15">
        <f>TRUNC(IF(OR([T]="CV",[T]="VV"),     L12*SETUP!$H$3,     0),2)</f>
        <v>0</v>
      </c>
      <c r="Z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A1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B1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2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12" s="15">
        <f>IF([LUCRO TMP] &lt;&gt; 0, [LUCRO TMP] - SUMPRODUCT(N([ATIVO]=NC[[#This Row],[ATIVO]]),N(['[D/N']]="N"),N([ID]&lt;NC[[#This Row],[ID]]),N([PAR]=NC[[#This Row],[PAR]]), [LUCRO TMP]), 0)</f>
        <v>0</v>
      </c>
      <c r="AE12" s="15">
        <f>IF([U] = "U", SUMPRODUCT(N([ID]&lt;=NC[[#This Row],[ID]]),N([DATA BASE]=NC[[#This Row],[DATA BASE]]), N(['[D/N']] = "N"),    [LUCRO P/ OP]), 0)</f>
        <v>0</v>
      </c>
      <c r="AF12" s="15">
        <f>IF([U] = "U",[LUCRO '[N']] + SUMPRODUCT(N(MONTH([DATA BASE])=MONTH(NC[[#This Row],[DATA BASE]]) - 1), [LUCRO '[N']]),0)</f>
        <v>0</v>
      </c>
      <c r="AG12" s="15">
        <f>IF([U] = "U", SUMPRODUCT(N([DATA BASE]=NC[[#This Row],[DATA BASE]]), N(['[D/N']] = "D"),    [LUCRO P/ OP]), 0)</f>
        <v>0</v>
      </c>
      <c r="AH12" s="20">
        <f>IF([ TRIB. '[N']] &gt; 0,     ROUND([ TRIB. '[N']]*0.15,    2),    0)</f>
        <v>0</v>
      </c>
      <c r="AI12" s="20">
        <f>IF([LUCRO TRIB. DT] &gt; 0,     ROUND([LUCRO TRIB. DT]*0.2,    2)  -  SUMPRODUCT(N([DATA BASE]=NC[[#This Row],[DATA BASE]]),    [IRRF FONTE]),    0)</f>
        <v>0</v>
      </c>
      <c r="AJ12" s="19">
        <f>[IR '[N']] + [IR DEVIDO DT]</f>
        <v>0</v>
      </c>
      <c r="AK12" s="19">
        <f>IF(AND([U] = "U",[IR DEVIDO] &gt; 0), [IR DEVIDO] + 8.9, 0)</f>
        <v>0</v>
      </c>
      <c r="AL12" s="19">
        <f>[LUCRO '[N']]  + [LUCRO TRIB. DT] - [RESGATE]</f>
        <v>0</v>
      </c>
    </row>
    <row r="13" spans="1:38" ht="11.25" customHeight="1">
      <c r="A13" s="13">
        <v>12</v>
      </c>
      <c r="B13" s="13"/>
      <c r="C13" s="13" t="s">
        <v>44</v>
      </c>
      <c r="D13" s="13" t="s">
        <v>26</v>
      </c>
      <c r="E13" s="14">
        <v>40984</v>
      </c>
      <c r="F13" s="13">
        <v>800</v>
      </c>
      <c r="G13" s="15">
        <v>0.21</v>
      </c>
      <c r="H13" s="13" t="s">
        <v>6</v>
      </c>
      <c r="I13" s="14">
        <f>WORKDAY(NC[[#This Row],[DATA]],1,0)</f>
        <v>40987</v>
      </c>
      <c r="J13" s="22">
        <f>EOMONTH(NC[[#This Row],[DATA DE LIQUIDAÇÃO]],0)</f>
        <v>40999</v>
      </c>
      <c r="K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3" s="15">
        <f>[QTDE]*[PREÇO]</f>
        <v>168</v>
      </c>
      <c r="M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N1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13" s="15">
        <f>SETUP!$E$3*SUMPRODUCT(N([DATA]=NC[[#This Row],[DATA]]),N([ID]&lt;=NC[[#This Row],[ID]]))</f>
        <v>14.9</v>
      </c>
      <c r="R13" s="15">
        <f>TRUNC([CORRETAGEM]*SETUP!$F$3,2)</f>
        <v>0.28999999999999998</v>
      </c>
      <c r="S13" s="15">
        <f>ROUND([CORRETAGEM]*SETUP!$G$3,2)</f>
        <v>0.57999999999999996</v>
      </c>
      <c r="T13" s="15">
        <f>[VALOR LÍQUIDO DAS OPERAÇÕES]-[TAXA DE LIQUIDAÇÃO]-[EMOLUMENTOS]-[TAXA DE REGISTRO]-[CORRETAGEM]-[ISS]-IF(['[D/N']]="D",    0,    [OUTRAS BOVESPA])</f>
        <v>152.01999999999998</v>
      </c>
      <c r="U13" s="15">
        <f>IF(AND(['[D/N']]="D",    [T]="CV"),    ROUND([LÍQUIDO BASE]*0.01, 2),    0)</f>
        <v>0</v>
      </c>
      <c r="V13" s="15">
        <f>IF([PREÇO] &gt; 0,    [LÍQUIDO BASE]-SUMPRODUCT(N([DATA]=NC[[#This Row],[DATA]]),    [IRRF FONTE]),    0)</f>
        <v>152.01999999999998</v>
      </c>
      <c r="W13" s="20">
        <f>[LÍQUIDO]-SUMPRODUCT(N([DATA]=NC[[#This Row],[DATA]]),N([ID]=(NC[[#This Row],[ID]]-1)),[LÍQUIDO])</f>
        <v>152.01999999999998</v>
      </c>
      <c r="X13" s="15">
        <f t="shared" si="0"/>
        <v>0.19002499999999997</v>
      </c>
      <c r="Y13" s="15">
        <f>TRUNC(IF(OR([T]="CV",[T]="VV"),     L13*SETUP!$H$3,     0),2)</f>
        <v>0</v>
      </c>
      <c r="Z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B1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0.19002499999999997</v>
      </c>
      <c r="AC13" s="16">
        <f xml:space="preserve">  IF([PREÇO] &gt; 0,  IF(AND([MED CP] &gt; 0, [MED VD] &gt; 0), ([MED VD] - [MED CP]) * [QTDE], 0),    IF(AND([MED CP] &gt; 0, [MED VD] = 0), ([MED VD] - [MED CP]) * [QTDE], 0)) + [IRRF FONTE]</f>
        <v>-177.33000000000004</v>
      </c>
      <c r="AD13" s="15">
        <f>IF([LUCRO TMP] &lt;&gt; 0, [LUCRO TMP] - SUMPRODUCT(N([ATIVO]=NC[[#This Row],[ATIVO]]),N(['[D/N']]="N"),N([ID]&lt;NC[[#This Row],[ID]]),N([PAR]=NC[[#This Row],[PAR]]), [LUCRO TMP]), 0)</f>
        <v>-177.33000000000004</v>
      </c>
      <c r="AE13" s="15">
        <f>IF([U] = "U", SUMPRODUCT(N([ID]&lt;=NC[[#This Row],[ID]]),N([DATA BASE]=NC[[#This Row],[DATA BASE]]), N(['[D/N']] = "N"),    [LUCRO P/ OP]), 0)</f>
        <v>0</v>
      </c>
      <c r="AF13" s="15">
        <f>IF([U] = "U",[LUCRO '[N']] + SUMPRODUCT(N(MONTH([DATA BASE])=MONTH(NC[[#This Row],[DATA BASE]]) - 1), [LUCRO '[N']]),0)</f>
        <v>0</v>
      </c>
      <c r="AG13" s="15">
        <f>IF([U] = "U", SUMPRODUCT(N([DATA BASE]=NC[[#This Row],[DATA BASE]]), N(['[D/N']] = "D"),    [LUCRO P/ OP]), 0)</f>
        <v>0</v>
      </c>
      <c r="AH13" s="20">
        <f>IF([ TRIB. '[N']] &gt; 0,     ROUND([ TRIB. '[N']]*0.15,    2),    0)</f>
        <v>0</v>
      </c>
      <c r="AI13" s="20">
        <f>IF([LUCRO TRIB. DT] &gt; 0,     ROUND([LUCRO TRIB. DT]*0.2,    2)  -  SUMPRODUCT(N([DATA BASE]=NC[[#This Row],[DATA BASE]]),    [IRRF FONTE]),    0)</f>
        <v>0</v>
      </c>
      <c r="AJ13" s="19">
        <f>[IR '[N']] + [IR DEVIDO DT]</f>
        <v>0</v>
      </c>
      <c r="AK13" s="19">
        <f>IF(AND([U] = "U",[IR DEVIDO] &gt; 0), [IR DEVIDO] + 8.9, 0)</f>
        <v>0</v>
      </c>
      <c r="AL13" s="19">
        <f>[LUCRO '[N']]  + [LUCRO TRIB. DT] - [RESGATE]</f>
        <v>0</v>
      </c>
    </row>
    <row r="14" spans="1:38" ht="11.25" customHeight="1">
      <c r="A14" s="13">
        <v>13</v>
      </c>
      <c r="B14" s="13"/>
      <c r="C14" s="13" t="s">
        <v>46</v>
      </c>
      <c r="D14" s="13" t="s">
        <v>26</v>
      </c>
      <c r="E14" s="14">
        <v>40984</v>
      </c>
      <c r="F14" s="13">
        <v>500</v>
      </c>
      <c r="G14" s="15">
        <v>0.64</v>
      </c>
      <c r="H14" s="13" t="s">
        <v>6</v>
      </c>
      <c r="I14" s="14">
        <f>WORKDAY(NC[[#This Row],[DATA]],1,0)</f>
        <v>40987</v>
      </c>
      <c r="J14" s="22">
        <f>EOMONTH(NC[[#This Row],[DATA DE LIQUIDAÇÃO]],0)</f>
        <v>40999</v>
      </c>
      <c r="K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4" s="15">
        <f>[QTDE]*[PREÇO]</f>
        <v>320</v>
      </c>
      <c r="M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N1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0.13</v>
      </c>
      <c r="O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P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14" s="15">
        <f>SETUP!$E$3*SUMPRODUCT(N([DATA]=NC[[#This Row],[DATA]]),N([ID]&lt;=NC[[#This Row],[ID]]))</f>
        <v>29.8</v>
      </c>
      <c r="R14" s="15">
        <f>TRUNC([CORRETAGEM]*SETUP!$F$3,2)</f>
        <v>0.59</v>
      </c>
      <c r="S14" s="15">
        <f>ROUND([CORRETAGEM]*SETUP!$G$3,2)</f>
        <v>1.1599999999999999</v>
      </c>
      <c r="T14" s="15">
        <f>[VALOR LÍQUIDO DAS OPERAÇÕES]-[TAXA DE LIQUIDAÇÃO]-[EMOLUMENTOS]-[TAXA DE REGISTRO]-[CORRETAGEM]-[ISS]-IF(['[D/N']]="D",    0,    [OUTRAS BOVESPA])</f>
        <v>455.81</v>
      </c>
      <c r="U14" s="15">
        <f>IF(AND(['[D/N']]="D",    [T]="CV"),    ROUND([LÍQUIDO BASE]*0.01, 2),    0)</f>
        <v>0</v>
      </c>
      <c r="V14" s="15">
        <f>IF([PREÇO] &gt; 0,    [LÍQUIDO BASE]-SUMPRODUCT(N([DATA]=NC[[#This Row],[DATA]]),    [IRRF FONTE]),    0)</f>
        <v>455.81</v>
      </c>
      <c r="W14" s="20">
        <f>[LÍQUIDO]-SUMPRODUCT(N([DATA]=NC[[#This Row],[DATA]]),N([ID]=(NC[[#This Row],[ID]]-1)),[LÍQUIDO])</f>
        <v>303.79000000000002</v>
      </c>
      <c r="X14" s="15">
        <f t="shared" si="0"/>
        <v>0.60758000000000001</v>
      </c>
      <c r="Y14" s="15">
        <f>TRUNC(IF(OR([T]="CV",[T]="VV"),     L14*SETUP!$H$3,     0),2)</f>
        <v>0.01</v>
      </c>
      <c r="Z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B1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0.60758000000000001</v>
      </c>
      <c r="AC14" s="16">
        <f xml:space="preserve">  IF([PREÇO] &gt; 0,  IF(AND([MED CP] &gt; 0, [MED VD] &gt; 0), ([MED VD] - [MED CP]) * [QTDE], 0),    IF(AND([MED CP] &gt; 0, [MED VD] = 0), ([MED VD] - [MED CP]) * [QTDE], 0)) + [IRRF FONTE]</f>
        <v>-72.44999999999996</v>
      </c>
      <c r="AD14" s="15">
        <f>IF([LUCRO TMP] &lt;&gt; 0, [LUCRO TMP] - SUMPRODUCT(N([ATIVO]=NC[[#This Row],[ATIVO]]),N(['[D/N']]="N"),N([ID]&lt;NC[[#This Row],[ID]]),N([PAR]=NC[[#This Row],[PAR]]), [LUCRO TMP]), 0)</f>
        <v>-72.44999999999996</v>
      </c>
      <c r="AE14" s="15">
        <f>IF([U] = "U", SUMPRODUCT(N([ID]&lt;=NC[[#This Row],[ID]]),N([DATA BASE]=NC[[#This Row],[DATA BASE]]), N(['[D/N']] = "N"),    [LUCRO P/ OP]), 0)</f>
        <v>0</v>
      </c>
      <c r="AF14" s="15">
        <f>IF([U] = "U",[LUCRO '[N']] + SUMPRODUCT(N(MONTH([DATA BASE])=MONTH(NC[[#This Row],[DATA BASE]]) - 1), [LUCRO '[N']]),0)</f>
        <v>0</v>
      </c>
      <c r="AG14" s="15">
        <f>IF([U] = "U", SUMPRODUCT(N([DATA BASE]=NC[[#This Row],[DATA BASE]]), N(['[D/N']] = "D"),    [LUCRO P/ OP]), 0)</f>
        <v>0</v>
      </c>
      <c r="AH14" s="20">
        <f>IF([ TRIB. '[N']] &gt; 0,     ROUND([ TRIB. '[N']]*0.15,    2),    0)</f>
        <v>0</v>
      </c>
      <c r="AI14" s="20">
        <f>IF([LUCRO TRIB. DT] &gt; 0,     ROUND([LUCRO TRIB. DT]*0.2,    2)  -  SUMPRODUCT(N([DATA BASE]=NC[[#This Row],[DATA BASE]]),    [IRRF FONTE]),    0)</f>
        <v>0</v>
      </c>
      <c r="AJ14" s="19">
        <f>[IR '[N']] + [IR DEVIDO DT]</f>
        <v>0</v>
      </c>
      <c r="AK14" s="19">
        <f>IF(AND([U] = "U",[IR DEVIDO] &gt; 0), [IR DEVIDO] + 8.9, 0)</f>
        <v>0</v>
      </c>
      <c r="AL14" s="19">
        <f>[LUCRO '[N']]  + [LUCRO TRIB. DT] - [RESGATE]</f>
        <v>0</v>
      </c>
    </row>
    <row r="15" spans="1:38">
      <c r="A15" s="13">
        <v>14</v>
      </c>
      <c r="B15" s="13"/>
      <c r="C15" s="13" t="s">
        <v>32</v>
      </c>
      <c r="D15" s="13" t="s">
        <v>26</v>
      </c>
      <c r="E15" s="14">
        <v>40984</v>
      </c>
      <c r="F15" s="13">
        <v>100</v>
      </c>
      <c r="G15" s="15">
        <v>1.06</v>
      </c>
      <c r="H15" s="13" t="s">
        <v>6</v>
      </c>
      <c r="I15" s="14">
        <f>WORKDAY(NC[[#This Row],[DATA]],1,0)</f>
        <v>40987</v>
      </c>
      <c r="J15" s="22">
        <f>EOMONTH(NC[[#This Row],[DATA DE LIQUIDAÇÃO]],0)</f>
        <v>40999</v>
      </c>
      <c r="K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5" s="15">
        <f>[QTDE]*[PREÇO]</f>
        <v>106</v>
      </c>
      <c r="M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N1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15" s="15">
        <f>SETUP!$E$3*SUMPRODUCT(N([DATA]=NC[[#This Row],[DATA]]),N([ID]&lt;=NC[[#This Row],[ID]]))</f>
        <v>44.7</v>
      </c>
      <c r="R15" s="15">
        <f>TRUNC([CORRETAGEM]*SETUP!$F$3,2)</f>
        <v>0.89</v>
      </c>
      <c r="S15" s="15">
        <f>ROUND([CORRETAGEM]*SETUP!$G$3,2)</f>
        <v>1.74</v>
      </c>
      <c r="T15" s="15">
        <f>[VALOR LÍQUIDO DAS OPERAÇÕES]-[TAXA DE LIQUIDAÇÃO]-[EMOLUMENTOS]-[TAXA DE REGISTRO]-[CORRETAGEM]-[ISS]-IF(['[D/N']]="D",    0,    [OUTRAS BOVESPA])</f>
        <v>545.89</v>
      </c>
      <c r="U15" s="15">
        <f>IF(AND(['[D/N']]="D",    [T]="CV"),    ROUND([LÍQUIDO BASE]*0.01, 2),    0)</f>
        <v>0</v>
      </c>
      <c r="V15" s="15">
        <f>IF([PREÇO] &gt; 0,    [LÍQUIDO BASE]-SUMPRODUCT(N([DATA]=NC[[#This Row],[DATA]]),    [IRRF FONTE]),    0)</f>
        <v>545.89</v>
      </c>
      <c r="W15" s="20">
        <f>[LÍQUIDO]-SUMPRODUCT(N([DATA]=NC[[#This Row],[DATA]]),N([ID]=(NC[[#This Row],[ID]]-1)),[LÍQUIDO])</f>
        <v>90.079999999999984</v>
      </c>
      <c r="X15" s="15">
        <f t="shared" si="0"/>
        <v>0.90079999999999982</v>
      </c>
      <c r="Y15" s="15">
        <f>TRUNC(IF(OR([T]="CV",[T]="VV"),     L15*SETUP!$H$3,     0),2)</f>
        <v>0</v>
      </c>
      <c r="Z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1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B1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0.90079999999999982</v>
      </c>
      <c r="AC15" s="19">
        <f xml:space="preserve">  IF([PREÇO] &gt; 0,  IF(AND([MED CP] &gt; 0, [MED VD] &gt; 0), ([MED VD] - [MED CP]) * [QTDE], 0),    IF(AND([MED CP] &gt; 0, [MED VD] = 0), ([MED VD] - [MED CP]) * [QTDE], 0)) + [IRRF FONTE]</f>
        <v>2.0900000000000252</v>
      </c>
      <c r="AD15" s="15">
        <f>IF([LUCRO TMP] &lt;&gt; 0, [LUCRO TMP] - SUMPRODUCT(N([ATIVO]=NC[[#This Row],[ATIVO]]),N(['[D/N']]="N"),N([ID]&lt;NC[[#This Row],[ID]]),N([PAR]=NC[[#This Row],[PAR]]), [LUCRO TMP]), 0)</f>
        <v>2.0900000000000252</v>
      </c>
      <c r="AE15" s="15">
        <f>IF([U] = "U", SUMPRODUCT(N([ID]&lt;=NC[[#This Row],[ID]]),N([DATA BASE]=NC[[#This Row],[DATA BASE]]), N(['[D/N']] = "N"),    [LUCRO P/ OP]), 0)</f>
        <v>0</v>
      </c>
      <c r="AF15" s="15">
        <f>IF([U] = "U",[LUCRO '[N']] + SUMPRODUCT(N(MONTH([DATA BASE])=MONTH(NC[[#This Row],[DATA BASE]]) - 1), [LUCRO '[N']]),0)</f>
        <v>0</v>
      </c>
      <c r="AG15" s="15">
        <f>IF([U] = "U", SUMPRODUCT(N([DATA BASE]=NC[[#This Row],[DATA BASE]]), N(['[D/N']] = "D"),    [LUCRO P/ OP]), 0)</f>
        <v>0</v>
      </c>
      <c r="AH15" s="20">
        <f>IF([ TRIB. '[N']] &gt; 0,     ROUND([ TRIB. '[N']]*0.15,    2),    0)</f>
        <v>0</v>
      </c>
      <c r="AI15" s="20">
        <f>IF([LUCRO TRIB. DT] &gt; 0,     ROUND([LUCRO TRIB. DT]*0.2,    2)  -  SUMPRODUCT(N([DATA BASE]=NC[[#This Row],[DATA BASE]]),    [IRRF FONTE]),    0)</f>
        <v>0</v>
      </c>
      <c r="AJ15" s="19">
        <f>[IR '[N']] + [IR DEVIDO DT]</f>
        <v>0</v>
      </c>
      <c r="AK15" s="19">
        <f>IF(AND([U] = "U",[IR DEVIDO] &gt; 0), [IR DEVIDO] + 8.9, 0)</f>
        <v>0</v>
      </c>
      <c r="AL15" s="19">
        <f>[LUCRO '[N']]  + [LUCRO TRIB. DT] - [RESGATE]</f>
        <v>0</v>
      </c>
    </row>
    <row r="16" spans="1:38" ht="11.25" customHeight="1">
      <c r="A16" s="13">
        <v>15</v>
      </c>
      <c r="B16" s="13"/>
      <c r="C16" s="13" t="s">
        <v>55</v>
      </c>
      <c r="D16" s="13" t="s">
        <v>25</v>
      </c>
      <c r="E16" s="14">
        <v>40990</v>
      </c>
      <c r="F16" s="13">
        <v>700</v>
      </c>
      <c r="G16" s="15">
        <v>0.6</v>
      </c>
      <c r="H16" s="13" t="s">
        <v>6</v>
      </c>
      <c r="I16" s="14">
        <f>WORKDAY(NC[[#This Row],[DATA]],1,0)</f>
        <v>40991</v>
      </c>
      <c r="J16" s="22">
        <f>EOMONTH(NC[[#This Row],[DATA DE LIQUIDAÇÃO]],0)</f>
        <v>40999</v>
      </c>
      <c r="K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6" s="15">
        <f>[QTDE]*[PREÇO]</f>
        <v>420</v>
      </c>
      <c r="M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N1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0.11</v>
      </c>
      <c r="O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P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Q16" s="15">
        <f>SETUP!$E$3*SUMPRODUCT(N([DATA]=NC[[#This Row],[DATA]]),N([ID]&lt;=NC[[#This Row],[ID]]))</f>
        <v>14.9</v>
      </c>
      <c r="R16" s="15">
        <f>TRUNC([CORRETAGEM]*SETUP!$F$3,2)</f>
        <v>0.28999999999999998</v>
      </c>
      <c r="S16" s="15">
        <f>ROUND([CORRETAGEM]*SETUP!$G$3,2)</f>
        <v>0.57999999999999996</v>
      </c>
      <c r="T16" s="15">
        <f>[VALOR LÍQUIDO DAS OPERAÇÕES]-[TAXA DE LIQUIDAÇÃO]-[EMOLUMENTOS]-[TAXA DE REGISTRO]-[CORRETAGEM]-[ISS]-IF(['[D/N']]="D",    0,    [OUTRAS BOVESPA])</f>
        <v>-436.32</v>
      </c>
      <c r="U16" s="15">
        <f>IF(AND(['[D/N']]="D",    [T]="CV"),    ROUND([LÍQUIDO BASE]*0.01, 2),    0)</f>
        <v>0</v>
      </c>
      <c r="V16" s="15">
        <f>IF([PREÇO] &gt; 0,    [LÍQUIDO BASE]-SUMPRODUCT(N([DATA]=NC[[#This Row],[DATA]]),    [IRRF FONTE]),    0)</f>
        <v>-436.32</v>
      </c>
      <c r="W16" s="20">
        <f>[LÍQUIDO]-SUMPRODUCT(N([DATA]=NC[[#This Row],[DATA]]),N([ID]=(NC[[#This Row],[ID]]-1)),[LÍQUIDO])</f>
        <v>-436.32</v>
      </c>
      <c r="X16" s="15">
        <f t="shared" si="0"/>
        <v>0.62331428571428571</v>
      </c>
      <c r="Y16" s="15">
        <f>TRUNC(IF(OR([T]="CV",[T]="VV"),     L16*SETUP!$H$3,     0),2)</f>
        <v>0</v>
      </c>
      <c r="Z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A1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B1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6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16" s="15">
        <f>IF([LUCRO TMP] &lt;&gt; 0, [LUCRO TMP] - SUMPRODUCT(N([ATIVO]=NC[[#This Row],[ATIVO]]),N(['[D/N']]="N"),N([ID]&lt;NC[[#This Row],[ID]]),N([PAR]=NC[[#This Row],[PAR]]), [LUCRO TMP]), 0)</f>
        <v>0</v>
      </c>
      <c r="AE16" s="15">
        <f>IF([U] = "U", SUMPRODUCT(N([ID]&lt;=NC[[#This Row],[ID]]),N([DATA BASE]=NC[[#This Row],[DATA BASE]]), N(['[D/N']] = "N"),    [LUCRO P/ OP]), 0)</f>
        <v>0</v>
      </c>
      <c r="AF16" s="15">
        <f>IF([U] = "U",[LUCRO '[N']] + SUMPRODUCT(N(MONTH([DATA BASE])=MONTH(NC[[#This Row],[DATA BASE]]) - 1), [LUCRO '[N']]),0)</f>
        <v>0</v>
      </c>
      <c r="AG16" s="15">
        <f>IF([U] = "U", SUMPRODUCT(N([DATA BASE]=NC[[#This Row],[DATA BASE]]), N(['[D/N']] = "D"),    [LUCRO P/ OP]), 0)</f>
        <v>0</v>
      </c>
      <c r="AH16" s="20">
        <f>IF([ TRIB. '[N']] &gt; 0,     ROUND([ TRIB. '[N']]*0.15,    2),    0)</f>
        <v>0</v>
      </c>
      <c r="AI16" s="20">
        <f>IF([LUCRO TRIB. DT] &gt; 0,     ROUND([LUCRO TRIB. DT]*0.2,    2)  -  SUMPRODUCT(N([DATA BASE]=NC[[#This Row],[DATA BASE]]),    [IRRF FONTE]),    0)</f>
        <v>0</v>
      </c>
      <c r="AJ16" s="19">
        <f>[IR '[N']] + [IR DEVIDO DT]</f>
        <v>0</v>
      </c>
      <c r="AK16" s="20">
        <f>IF(AND([U] = "U",[IR DEVIDO] &gt; 0), [IR DEVIDO] + 8.9, 0)</f>
        <v>0</v>
      </c>
      <c r="AL16" s="19">
        <f>[LUCRO '[N']]  + [LUCRO TRIB. DT] - [RESGATE]</f>
        <v>0</v>
      </c>
    </row>
    <row r="17" spans="1:38" ht="11.25" customHeight="1">
      <c r="A17" s="13">
        <v>16</v>
      </c>
      <c r="B17" s="13"/>
      <c r="C17" s="13" t="s">
        <v>56</v>
      </c>
      <c r="D17" s="13" t="s">
        <v>25</v>
      </c>
      <c r="E17" s="14">
        <v>40991</v>
      </c>
      <c r="F17" s="13">
        <v>1700</v>
      </c>
      <c r="G17" s="15">
        <v>0.26</v>
      </c>
      <c r="H17" s="13" t="s">
        <v>6</v>
      </c>
      <c r="I17" s="14">
        <f>WORKDAY(NC[[#This Row],[DATA]],1,0)</f>
        <v>40994</v>
      </c>
      <c r="J17" s="22">
        <f>EOMONTH(NC[[#This Row],[DATA DE LIQUIDAÇÃO]],0)</f>
        <v>40999</v>
      </c>
      <c r="K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7" s="15">
        <f>[QTDE]*[PREÇO]</f>
        <v>442</v>
      </c>
      <c r="M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N1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Q17" s="15">
        <f>SETUP!$E$3*SUMPRODUCT(N([DATA]=NC[[#This Row],[DATA]]),N([ID]&lt;=NC[[#This Row],[ID]]))</f>
        <v>14.9</v>
      </c>
      <c r="R17" s="15">
        <f>TRUNC([CORRETAGEM]*SETUP!$F$3,2)</f>
        <v>0.28999999999999998</v>
      </c>
      <c r="S17" s="15">
        <f>ROUND([CORRETAGEM]*SETUP!$G$3,2)</f>
        <v>0.57999999999999996</v>
      </c>
      <c r="T17" s="15">
        <f>[VALOR LÍQUIDO DAS OPERAÇÕES]-[TAXA DE LIQUIDAÇÃO]-[EMOLUMENTOS]-[TAXA DE REGISTRO]-[CORRETAGEM]-[ISS]-IF(['[D/N']]="D",    0,    [OUTRAS BOVESPA])</f>
        <v>-458.35</v>
      </c>
      <c r="U17" s="15">
        <f>IF(AND(['[D/N']]="D",    [T]="CV"),    ROUND([LÍQUIDO BASE]*0.01, 2),    0)</f>
        <v>0</v>
      </c>
      <c r="V17" s="15">
        <f>IF([PREÇO] &gt; 0,    [LÍQUIDO BASE]-SUMPRODUCT(N([DATA]=NC[[#This Row],[DATA]]),    [IRRF FONTE]),    0)</f>
        <v>-458.35</v>
      </c>
      <c r="W17" s="20">
        <f>[LÍQUIDO]-SUMPRODUCT(N([DATA]=NC[[#This Row],[DATA]]),N([ID]=(NC[[#This Row],[ID]]-1)),[LÍQUIDO])</f>
        <v>-458.35</v>
      </c>
      <c r="X17" s="15">
        <f t="shared" si="0"/>
        <v>0.26961764705882352</v>
      </c>
      <c r="Y17" s="15">
        <f>TRUNC(IF(OR([T]="CV",[T]="VV"),     L17*SETUP!$H$3,     0),2)</f>
        <v>0</v>
      </c>
      <c r="Z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A1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B1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17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17" s="15">
        <f>IF([LUCRO TMP] &lt;&gt; 0, [LUCRO TMP] - SUMPRODUCT(N([ATIVO]=NC[[#This Row],[ATIVO]]),N(['[D/N']]="N"),N([ID]&lt;NC[[#This Row],[ID]]),N([PAR]=NC[[#This Row],[PAR]]), [LUCRO TMP]), 0)</f>
        <v>0</v>
      </c>
      <c r="AE17" s="15">
        <f>IF([U] = "U", SUMPRODUCT(N([ID]&lt;=NC[[#This Row],[ID]]),N([DATA BASE]=NC[[#This Row],[DATA BASE]]), N(['[D/N']] = "N"),    [LUCRO P/ OP]), 0)</f>
        <v>0</v>
      </c>
      <c r="AF17" s="15">
        <f>IF([U] = "U",[LUCRO '[N']] + SUMPRODUCT(N(MONTH([DATA BASE])=MONTH(NC[[#This Row],[DATA BASE]]) - 1), [LUCRO '[N']]),0)</f>
        <v>0</v>
      </c>
      <c r="AG17" s="15">
        <f>IF([U] = "U", SUMPRODUCT(N([DATA BASE]=NC[[#This Row],[DATA BASE]]), N(['[D/N']] = "D"),    [LUCRO P/ OP]), 0)</f>
        <v>0</v>
      </c>
      <c r="AH17" s="20">
        <f>IF([ TRIB. '[N']] &gt; 0,     ROUND([ TRIB. '[N']]*0.15,    2),    0)</f>
        <v>0</v>
      </c>
      <c r="AI17" s="20">
        <f>IF([LUCRO TRIB. DT] &gt; 0,     ROUND([LUCRO TRIB. DT]*0.2,    2)  -  SUMPRODUCT(N([DATA BASE]=NC[[#This Row],[DATA BASE]]),    [IRRF FONTE]),    0)</f>
        <v>0</v>
      </c>
      <c r="AJ17" s="19">
        <f>[IR '[N']] + [IR DEVIDO DT]</f>
        <v>0</v>
      </c>
      <c r="AK17" s="20">
        <f>IF(AND([U] = "U",[IR DEVIDO] &gt; 0), [IR DEVIDO] + 8.9, 0)</f>
        <v>0</v>
      </c>
      <c r="AL17" s="19">
        <f>[LUCRO '[N']]  + [LUCRO TRIB. DT] - [RESGATE]</f>
        <v>0</v>
      </c>
    </row>
    <row r="18" spans="1:38" ht="11.25" customHeight="1">
      <c r="A18" s="13">
        <v>17</v>
      </c>
      <c r="B18" s="13"/>
      <c r="C18" s="13" t="s">
        <v>55</v>
      </c>
      <c r="D18" s="13" t="s">
        <v>26</v>
      </c>
      <c r="E18" s="14">
        <v>40994</v>
      </c>
      <c r="F18" s="13">
        <v>700</v>
      </c>
      <c r="G18" s="15">
        <v>0.17</v>
      </c>
      <c r="H18" s="13" t="s">
        <v>6</v>
      </c>
      <c r="I18" s="14">
        <f>WORKDAY(NC[[#This Row],[DATA]],1,0)</f>
        <v>40995</v>
      </c>
      <c r="J18" s="22">
        <f>EOMONTH(NC[[#This Row],[DATA DE LIQUIDAÇÃO]],0)</f>
        <v>40999</v>
      </c>
      <c r="K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8" s="15">
        <f>[QTDE]*[PREÇO]</f>
        <v>119.00000000000001</v>
      </c>
      <c r="M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N18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0.03</v>
      </c>
      <c r="O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P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Q18" s="15">
        <f>SETUP!$E$3*SUMPRODUCT(N([DATA]=NC[[#This Row],[DATA]]),N([ID]&lt;=NC[[#This Row],[ID]]))</f>
        <v>14.9</v>
      </c>
      <c r="R18" s="15">
        <f>TRUNC([CORRETAGEM]*SETUP!$F$3,2)</f>
        <v>0.28999999999999998</v>
      </c>
      <c r="S18" s="15">
        <f>ROUND([CORRETAGEM]*SETUP!$G$3,2)</f>
        <v>0.57999999999999996</v>
      </c>
      <c r="T18" s="15">
        <f>[VALOR LÍQUIDO DAS OPERAÇÕES]-[TAXA DE LIQUIDAÇÃO]-[EMOLUMENTOS]-[TAXA DE REGISTRO]-[CORRETAGEM]-[ISS]-IF(['[D/N']]="D",    0,    [OUTRAS BOVESPA])</f>
        <v>103.08</v>
      </c>
      <c r="U18" s="15">
        <f>IF(AND(['[D/N']]="D",    [T]="CV"),    ROUND([LÍQUIDO BASE]*0.01, 2),    0)</f>
        <v>0</v>
      </c>
      <c r="V18" s="15">
        <f>IF([PREÇO] &gt; 0,    [LÍQUIDO BASE]-SUMPRODUCT(N([DATA]=NC[[#This Row],[DATA]]),    [IRRF FONTE]),    0)</f>
        <v>103.08</v>
      </c>
      <c r="W18" s="20">
        <f>[LÍQUIDO]-SUMPRODUCT(N([DATA]=NC[[#This Row],[DATA]]),N([ID]=(NC[[#This Row],[ID]]-1)),[LÍQUIDO])</f>
        <v>103.08</v>
      </c>
      <c r="X18" s="15">
        <f t="shared" si="0"/>
        <v>0.14725714285714286</v>
      </c>
      <c r="Y18" s="15">
        <f>TRUNC(IF(OR([T]="CV",[T]="VV"),     L18*SETUP!$H$3,     0),2)</f>
        <v>0</v>
      </c>
      <c r="Z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8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B18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0.14725714285714286</v>
      </c>
      <c r="AC18" s="16">
        <f xml:space="preserve">  IF([PREÇO] &gt; 0,  IF(AND([MED CP] &gt; 0, [MED VD] &gt; 0), ([MED VD] - [MED CP]) * [QTDE], 0),    IF(AND([MED CP] &gt; 0, [MED VD] = 0), ([MED VD] - [MED CP]) * [QTDE], 0)) + [IRRF FONTE]</f>
        <v>-333.24</v>
      </c>
      <c r="AD18" s="15">
        <f>IF([LUCRO TMP] &lt;&gt; 0, [LUCRO TMP] - SUMPRODUCT(N([ATIVO]=NC[[#This Row],[ATIVO]]),N(['[D/N']]="N"),N([ID]&lt;NC[[#This Row],[ID]]),N([PAR]=NC[[#This Row],[PAR]]), [LUCRO TMP]), 0)</f>
        <v>-333.24</v>
      </c>
      <c r="AE18" s="15">
        <f>IF([U] = "U", SUMPRODUCT(N([ID]&lt;=NC[[#This Row],[ID]]),N([DATA BASE]=NC[[#This Row],[DATA BASE]]), N(['[D/N']] = "N"),    [LUCRO P/ OP]), 0)</f>
        <v>0</v>
      </c>
      <c r="AF18" s="15">
        <f>IF([U] = "U",[LUCRO '[N']] + SUMPRODUCT(N(MONTH([DATA BASE])=MONTH(NC[[#This Row],[DATA BASE]]) - 1), [LUCRO '[N']]),0)</f>
        <v>0</v>
      </c>
      <c r="AG18" s="15">
        <f>IF([U] = "U", SUMPRODUCT(N([DATA BASE]=NC[[#This Row],[DATA BASE]]), N(['[D/N']] = "D"),    [LUCRO P/ OP]), 0)</f>
        <v>0</v>
      </c>
      <c r="AH18" s="20">
        <f>IF([ TRIB. '[N']] &gt; 0,     ROUND([ TRIB. '[N']]*0.15,    2),    0)</f>
        <v>0</v>
      </c>
      <c r="AI18" s="20">
        <f>IF([LUCRO TRIB. DT] &gt; 0,     ROUND([LUCRO TRIB. DT]*0.2,    2)  -  SUMPRODUCT(N([DATA BASE]=NC[[#This Row],[DATA BASE]]),    [IRRF FONTE]),    0)</f>
        <v>0</v>
      </c>
      <c r="AJ18" s="19">
        <f>[IR '[N']] + [IR DEVIDO DT]</f>
        <v>0</v>
      </c>
      <c r="AK18" s="20">
        <f>IF(AND([U] = "U",[IR DEVIDO] &gt; 0), [IR DEVIDO] + 8.9, 0)</f>
        <v>0</v>
      </c>
      <c r="AL18" s="19">
        <f>[LUCRO '[N']]  + [LUCRO TRIB. DT] - [RESGATE]</f>
        <v>0</v>
      </c>
    </row>
    <row r="19" spans="1:38" ht="11.25" customHeight="1">
      <c r="A19" s="13">
        <v>18</v>
      </c>
      <c r="B19" s="13"/>
      <c r="C19" s="13" t="s">
        <v>56</v>
      </c>
      <c r="D19" s="13" t="s">
        <v>26</v>
      </c>
      <c r="E19" s="14">
        <v>40997</v>
      </c>
      <c r="F19" s="13">
        <v>1700</v>
      </c>
      <c r="G19" s="15">
        <v>0.08</v>
      </c>
      <c r="H19" s="13" t="s">
        <v>6</v>
      </c>
      <c r="I19" s="14">
        <f>WORKDAY(NC[[#This Row],[DATA]],1,0)</f>
        <v>40998</v>
      </c>
      <c r="J19" s="22">
        <f>EOMONTH(NC[[#This Row],[DATA DE LIQUIDAÇÃO]],0)</f>
        <v>40999</v>
      </c>
      <c r="K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9" s="15">
        <f>[QTDE]*[PREÇO]</f>
        <v>136</v>
      </c>
      <c r="M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N19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0.03</v>
      </c>
      <c r="O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P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Q19" s="15">
        <f>SETUP!$E$3*SUMPRODUCT(N([DATA]=NC[[#This Row],[DATA]]),N([ID]&lt;=NC[[#This Row],[ID]]))</f>
        <v>14.9</v>
      </c>
      <c r="R19" s="15">
        <f>TRUNC([CORRETAGEM]*SETUP!$F$3,2)</f>
        <v>0.28999999999999998</v>
      </c>
      <c r="S19" s="15">
        <f>ROUND([CORRETAGEM]*SETUP!$G$3,2)</f>
        <v>0.57999999999999996</v>
      </c>
      <c r="T19" s="15">
        <f>[VALOR LÍQUIDO DAS OPERAÇÕES]-[TAXA DE LIQUIDAÇÃO]-[EMOLUMENTOS]-[TAXA DE REGISTRO]-[CORRETAGEM]-[ISS]-IF(['[D/N']]="D",    0,    [OUTRAS BOVESPA])</f>
        <v>120.05999999999997</v>
      </c>
      <c r="U19" s="15">
        <f>IF(AND(['[D/N']]="D",    [T]="CV"),    ROUND([LÍQUIDO BASE]*0.01, 2),    0)</f>
        <v>0</v>
      </c>
      <c r="V19" s="15">
        <f>IF([PREÇO] &gt; 0,    [LÍQUIDO BASE]-SUMPRODUCT(N([DATA]=NC[[#This Row],[DATA]]),    [IRRF FONTE]),    0)</f>
        <v>120.05999999999997</v>
      </c>
      <c r="W19" s="20">
        <f>[LÍQUIDO]-SUMPRODUCT(N([DATA]=NC[[#This Row],[DATA]]),N([ID]=(NC[[#This Row],[ID]]-1)),[LÍQUIDO])</f>
        <v>120.05999999999997</v>
      </c>
      <c r="X19" s="15">
        <f t="shared" si="0"/>
        <v>7.0623529411764696E-2</v>
      </c>
      <c r="Y19" s="15">
        <f>TRUNC(IF(OR([T]="CV",[T]="VV"),     L19*SETUP!$H$3,     0),2)</f>
        <v>0</v>
      </c>
      <c r="Z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9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B19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7.0623529411764696E-2</v>
      </c>
      <c r="AC19" s="16">
        <f xml:space="preserve">  IF([PREÇO] &gt; 0,  IF(AND([MED CP] &gt; 0, [MED VD] &gt; 0), ([MED VD] - [MED CP]) * [QTDE], 0),    IF(AND([MED CP] &gt; 0, [MED VD] = 0), ([MED VD] - [MED CP]) * [QTDE], 0)) + [IRRF FONTE]</f>
        <v>-338.29</v>
      </c>
      <c r="AD19" s="15">
        <f>IF([LUCRO TMP] &lt;&gt; 0, [LUCRO TMP] - SUMPRODUCT(N([ATIVO]=NC[[#This Row],[ATIVO]]),N(['[D/N']]="N"),N([ID]&lt;NC[[#This Row],[ID]]),N([PAR]=NC[[#This Row],[PAR]]), [LUCRO TMP]), 0)</f>
        <v>-338.29</v>
      </c>
      <c r="AE19" s="15">
        <f>IF([U] = "U", SUMPRODUCT(N([ID]&lt;=NC[[#This Row],[ID]]),N([DATA BASE]=NC[[#This Row],[DATA BASE]]), N(['[D/N']] = "N"),    [LUCRO P/ OP]), 0)</f>
        <v>0</v>
      </c>
      <c r="AF19" s="15">
        <f>IF([U] = "U",[LUCRO '[N']] + SUMPRODUCT(N(MONTH([DATA BASE])=MONTH(NC[[#This Row],[DATA BASE]]) - 1), [LUCRO '[N']]),0)</f>
        <v>0</v>
      </c>
      <c r="AG19" s="15">
        <f>IF([U] = "U", SUMPRODUCT(N([DATA BASE]=NC[[#This Row],[DATA BASE]]), N(['[D/N']] = "D"),    [LUCRO P/ OP]), 0)</f>
        <v>0</v>
      </c>
      <c r="AH19" s="20">
        <f>IF([ TRIB. '[N']] &gt; 0,     ROUND([ TRIB. '[N']]*0.15,    2),    0)</f>
        <v>0</v>
      </c>
      <c r="AI19" s="20">
        <f>IF([LUCRO TRIB. DT] &gt; 0,     ROUND([LUCRO TRIB. DT]*0.2,    2)  -  SUMPRODUCT(N([DATA BASE]=NC[[#This Row],[DATA BASE]]),    [IRRF FONTE]),    0)</f>
        <v>0</v>
      </c>
      <c r="AJ19" s="19">
        <f>[IR '[N']] + [IR DEVIDO DT]</f>
        <v>0</v>
      </c>
      <c r="AK19" s="20">
        <f>IF(AND([U] = "U",[IR DEVIDO] &gt; 0), [IR DEVIDO] + 8.9, 0)</f>
        <v>0</v>
      </c>
      <c r="AL19" s="19">
        <f>[LUCRO '[N']]  + [LUCRO TRIB. DT] - [RESGATE]</f>
        <v>0</v>
      </c>
    </row>
    <row r="20" spans="1:38" ht="11.25" customHeight="1">
      <c r="A20" s="13">
        <v>19</v>
      </c>
      <c r="B20" s="13" t="s">
        <v>54</v>
      </c>
      <c r="C20" s="13" t="s">
        <v>57</v>
      </c>
      <c r="D20" s="13" t="s">
        <v>25</v>
      </c>
      <c r="E20" s="14">
        <v>40997</v>
      </c>
      <c r="F20" s="13">
        <v>1900</v>
      </c>
      <c r="G20" s="15">
        <v>0.24</v>
      </c>
      <c r="H20" s="13" t="s">
        <v>6</v>
      </c>
      <c r="I20" s="14">
        <f>WORKDAY(NC[[#This Row],[DATA]],1,0)</f>
        <v>40998</v>
      </c>
      <c r="J20" s="22">
        <f>EOMONTH(NC[[#This Row],[DATA DE LIQUIDAÇÃO]],0)</f>
        <v>40999</v>
      </c>
      <c r="K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0" s="15">
        <f>[QTDE]*[PREÇO]</f>
        <v>456</v>
      </c>
      <c r="M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N20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0.16</v>
      </c>
      <c r="O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20" s="15">
        <f>SETUP!$E$3*SUMPRODUCT(N([DATA]=NC[[#This Row],[DATA]]),N([ID]&lt;=NC[[#This Row],[ID]]))</f>
        <v>29.8</v>
      </c>
      <c r="R20" s="15">
        <f>TRUNC([CORRETAGEM]*SETUP!$F$3,2)</f>
        <v>0.59</v>
      </c>
      <c r="S20" s="15">
        <f>ROUND([CORRETAGEM]*SETUP!$G$3,2)</f>
        <v>1.1599999999999999</v>
      </c>
      <c r="T20" s="15">
        <f>[VALOR LÍQUIDO DAS OPERAÇÕES]-[TAXA DE LIQUIDAÇÃO]-[EMOLUMENTOS]-[TAXA DE REGISTRO]-[CORRETAGEM]-[ISS]-IF(['[D/N']]="D",    0,    [OUTRAS BOVESPA])</f>
        <v>-352.33000000000004</v>
      </c>
      <c r="U20" s="15">
        <f>IF(AND(['[D/N']]="D",    [T]="CV"),    ROUND([LÍQUIDO BASE]*0.01, 2),    0)</f>
        <v>0</v>
      </c>
      <c r="V20" s="15">
        <f>IF([PREÇO] &gt; 0,    [LÍQUIDO BASE]-SUMPRODUCT(N([DATA]=NC[[#This Row],[DATA]]),    [IRRF FONTE]),    0)</f>
        <v>-352.33000000000004</v>
      </c>
      <c r="W20" s="20">
        <f>[LÍQUIDO]-SUMPRODUCT(N([DATA]=NC[[#This Row],[DATA]]),N([ID]=(NC[[#This Row],[ID]]-1)),[LÍQUIDO])</f>
        <v>-472.39</v>
      </c>
      <c r="X20" s="15">
        <f t="shared" si="0"/>
        <v>0.24862631578947367</v>
      </c>
      <c r="Y20" s="15">
        <f>TRUNC(IF(OR([T]="CV",[T]="VV"),     L20*SETUP!$H$3,     0),2)</f>
        <v>0</v>
      </c>
      <c r="Z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A20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B20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0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20" s="15">
        <f>IF([LUCRO TMP] &lt;&gt; 0, [LUCRO TMP] - SUMPRODUCT(N([ATIVO]=NC[[#This Row],[ATIVO]]),N(['[D/N']]="N"),N([ID]&lt;NC[[#This Row],[ID]]),N([PAR]=NC[[#This Row],[PAR]]), [LUCRO TMP]), 0)</f>
        <v>0</v>
      </c>
      <c r="AE20" s="15">
        <f>IF([U] = "U", SUMPRODUCT(N([ID]&lt;=NC[[#This Row],[ID]]),N([DATA BASE]=NC[[#This Row],[DATA BASE]]), N(['[D/N']] = "N"),    [LUCRO P/ OP]), 0)</f>
        <v>-656.81000000000017</v>
      </c>
      <c r="AF20" s="15">
        <f>IF([U] = "U",[LUCRO '[N']] + SUMPRODUCT(N(MONTH([DATA BASE])=MONTH(NC[[#This Row],[DATA BASE]]) - 1), [LUCRO '[N']]),0)</f>
        <v>-656.81000000000017</v>
      </c>
      <c r="AG20" s="15">
        <f>IF([U] = "U", SUMPRODUCT(N([DATA BASE]=NC[[#This Row],[DATA BASE]]), N(['[D/N']] = "D"),    [LUCRO P/ OP]), 0)</f>
        <v>478.50999999999988</v>
      </c>
      <c r="AH20" s="20">
        <f>IF([ TRIB. '[N']] &gt; 0,     ROUND([ TRIB. '[N']]*0.15,    2),    0)</f>
        <v>0</v>
      </c>
      <c r="AI20" s="20">
        <f>IF([LUCRO TRIB. DT] &gt; 0,     ROUND([LUCRO TRIB. DT]*0.2,    2)  -  SUMPRODUCT(N([DATA BASE]=NC[[#This Row],[DATA BASE]]),    [IRRF FONTE]),    0)</f>
        <v>90.92</v>
      </c>
      <c r="AJ20" s="19">
        <f>[IR '[N']] + [IR DEVIDO DT]</f>
        <v>90.92</v>
      </c>
      <c r="AK20" s="20">
        <f>IF(AND([U] = "U",[IR DEVIDO] &gt; 0), [IR DEVIDO] + 8.9, 0)</f>
        <v>99.820000000000007</v>
      </c>
      <c r="AL20" s="19">
        <f>[LUCRO '[N']]  + [LUCRO TRIB. DT] - [RESGATE]</f>
        <v>-278.12000000000029</v>
      </c>
    </row>
    <row r="21" spans="1:38">
      <c r="A21" s="13">
        <v>20</v>
      </c>
      <c r="B21" s="13"/>
      <c r="C21" s="13" t="s">
        <v>32</v>
      </c>
      <c r="D21" s="13" t="s">
        <v>25</v>
      </c>
      <c r="E21" s="14">
        <v>40998</v>
      </c>
      <c r="F21" s="13">
        <v>1200</v>
      </c>
      <c r="G21" s="15">
        <v>0.38</v>
      </c>
      <c r="H21" s="13" t="s">
        <v>6</v>
      </c>
      <c r="I21" s="14">
        <f>WORKDAY(NC[[#This Row],[DATA]],1,0)</f>
        <v>41001</v>
      </c>
      <c r="J21" s="22">
        <f>EOMONTH(NC[[#This Row],[DATA DE LIQUIDAÇÃO]],0)</f>
        <v>41029</v>
      </c>
      <c r="K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1" s="15">
        <f>[QTDE]*[PREÇO]</f>
        <v>456</v>
      </c>
      <c r="M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N21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0.12</v>
      </c>
      <c r="O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Q21" s="15">
        <f>SETUP!$E$3*SUMPRODUCT(N([DATA]=NC[[#This Row],[DATA]]),N([ID]&lt;=NC[[#This Row],[ID]]))</f>
        <v>14.9</v>
      </c>
      <c r="R21" s="15">
        <f>TRUNC([CORRETAGEM]*SETUP!$F$3,2)</f>
        <v>0.28999999999999998</v>
      </c>
      <c r="S21" s="15">
        <f>ROUND([CORRETAGEM]*SETUP!$G$3,2)</f>
        <v>0.57999999999999996</v>
      </c>
      <c r="T21" s="15">
        <f>[VALOR LÍQUIDO DAS OPERAÇÕES]-[TAXA DE LIQUIDAÇÃO]-[EMOLUMENTOS]-[TAXA DE REGISTRO]-[CORRETAGEM]-[ISS]-IF(['[D/N']]="D",    0,    [OUTRAS BOVESPA])</f>
        <v>-472.36</v>
      </c>
      <c r="U21" s="15">
        <f>IF(AND(['[D/N']]="D",    [T]="CV"),    ROUND([LÍQUIDO BASE]*0.01, 2),    0)</f>
        <v>0</v>
      </c>
      <c r="V21" s="15">
        <f>IF([PREÇO] &gt; 0,    [LÍQUIDO BASE]-SUMPRODUCT(N([DATA]=NC[[#This Row],[DATA]]),    [IRRF FONTE]),    0)</f>
        <v>-472.36</v>
      </c>
      <c r="W21" s="20">
        <f>[LÍQUIDO]-SUMPRODUCT(N([DATA]=NC[[#This Row],[DATA]]),N([ID]=(NC[[#This Row],[ID]]-1)),[LÍQUIDO])</f>
        <v>-472.36</v>
      </c>
      <c r="X21" s="15">
        <f t="shared" si="0"/>
        <v>0.39363333333333334</v>
      </c>
      <c r="Y21" s="15">
        <f>TRUNC(IF(OR([T]="CV",[T]="VV"),     L21*SETUP!$H$3,     0),2)</f>
        <v>0</v>
      </c>
      <c r="Z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A21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B21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1" s="19">
        <f xml:space="preserve">  IF([PREÇO] &gt; 0,  IF(AND([MED CP] &gt; 0, [MED VD] &gt; 0), ([MED VD] - [MED CP]) * [QTDE], 0),    IF(AND([MED CP] &gt; 0, [MED VD] = 0), ([MED VD] - [MED CP]) * [QTDE], 0)) + [IRRF FONTE]</f>
        <v>0</v>
      </c>
      <c r="AD21" s="15">
        <f>IF([LUCRO TMP] &lt;&gt; 0, [LUCRO TMP] - SUMPRODUCT(N([ATIVO]=NC[[#This Row],[ATIVO]]),N(['[D/N']]="N"),N([ID]&lt;NC[[#This Row],[ID]]),N([PAR]=NC[[#This Row],[PAR]]), [LUCRO TMP]), 0)</f>
        <v>0</v>
      </c>
      <c r="AE21" s="15">
        <f>IF([U] = "U", SUMPRODUCT(N([ID]&lt;=NC[[#This Row],[ID]]),N([DATA BASE]=NC[[#This Row],[DATA BASE]]), N(['[D/N']] = "N"),    [LUCRO P/ OP]), 0)</f>
        <v>0</v>
      </c>
      <c r="AF21" s="15">
        <f>IF([U] = "U",[LUCRO '[N']] + SUMPRODUCT(N(MONTH([DATA BASE])=MONTH(NC[[#This Row],[DATA BASE]]) - 1), [LUCRO '[N']]),0)</f>
        <v>0</v>
      </c>
      <c r="AG21" s="15">
        <f>IF([U] = "U", SUMPRODUCT(N([DATA BASE]=NC[[#This Row],[DATA BASE]]), N(['[D/N']] = "D"),    [LUCRO P/ OP]), 0)</f>
        <v>0</v>
      </c>
      <c r="AH21" s="20">
        <f>IF([ TRIB. '[N']] &gt; 0,     ROUND([ TRIB. '[N']]*0.15,    2),    0)</f>
        <v>0</v>
      </c>
      <c r="AI21" s="20">
        <f>IF([LUCRO TRIB. DT] &gt; 0,     ROUND([LUCRO TRIB. DT]*0.2,    2)  -  SUMPRODUCT(N([DATA BASE]=NC[[#This Row],[DATA BASE]]),    [IRRF FONTE]),    0)</f>
        <v>0</v>
      </c>
      <c r="AJ21" s="19">
        <f>[IR '[N']] + [IR DEVIDO DT]</f>
        <v>0</v>
      </c>
      <c r="AK21" s="20">
        <f>IF(AND([U] = "U",[IR DEVIDO] &gt; 0), [IR DEVIDO] + 8.9, 0)</f>
        <v>0</v>
      </c>
      <c r="AL21" s="20">
        <f>[LUCRO '[N']]  + [LUCRO TRIB. DT] - [RESGATE]</f>
        <v>0</v>
      </c>
    </row>
    <row r="22" spans="1:38" ht="11.25" customHeight="1">
      <c r="A22" s="13">
        <v>21</v>
      </c>
      <c r="B22" s="13"/>
      <c r="C22" s="13" t="s">
        <v>56</v>
      </c>
      <c r="D22" s="13" t="s">
        <v>25</v>
      </c>
      <c r="E22" s="14">
        <v>41001</v>
      </c>
      <c r="F22" s="13">
        <v>3000</v>
      </c>
      <c r="G22" s="15">
        <v>0.16</v>
      </c>
      <c r="H22" s="13" t="s">
        <v>6</v>
      </c>
      <c r="I22" s="14">
        <f>WORKDAY(NC[[#This Row],[DATA]],1,0)</f>
        <v>41002</v>
      </c>
      <c r="J22" s="22">
        <f>EOMONTH(NC[[#This Row],[DATA DE LIQUIDAÇÃO]],0)</f>
        <v>41029</v>
      </c>
      <c r="K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2" s="15">
        <f>[QTDE]*[PREÇO]</f>
        <v>480</v>
      </c>
      <c r="M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N22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0.13</v>
      </c>
      <c r="O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P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22" s="15">
        <f>SETUP!$E$3*SUMPRODUCT(N([DATA]=NC[[#This Row],[DATA]]),N([ID]&lt;=NC[[#This Row],[ID]]))</f>
        <v>14.9</v>
      </c>
      <c r="R22" s="15">
        <f>TRUNC([CORRETAGEM]*SETUP!$F$3,2)</f>
        <v>0.28999999999999998</v>
      </c>
      <c r="S22" s="15">
        <f>ROUND([CORRETAGEM]*SETUP!$G$3,2)</f>
        <v>0.57999999999999996</v>
      </c>
      <c r="T22" s="15">
        <f>[VALOR LÍQUIDO DAS OPERAÇÕES]-[TAXA DE LIQUIDAÇÃO]-[EMOLUMENTOS]-[TAXA DE REGISTRO]-[CORRETAGEM]-[ISS]-IF(['[D/N']]="D",    0,    [OUTRAS BOVESPA])</f>
        <v>-496.4</v>
      </c>
      <c r="U22" s="15">
        <f>IF(AND(['[D/N']]="D",    [T]="CV"),    ROUND([LÍQUIDO BASE]*0.01, 2),    0)</f>
        <v>0</v>
      </c>
      <c r="V22" s="15">
        <f>IF([PREÇO] &gt; 0,    [LÍQUIDO BASE]-SUMPRODUCT(N([DATA]=NC[[#This Row],[DATA]]),    [IRRF FONTE]),    0)</f>
        <v>-496.4</v>
      </c>
      <c r="W22" s="20">
        <f>[LÍQUIDO]-SUMPRODUCT(N([DATA]=NC[[#This Row],[DATA]]),N([ID]=(NC[[#This Row],[ID]]-1)),[LÍQUIDO])</f>
        <v>-496.4</v>
      </c>
      <c r="X22" s="15">
        <f t="shared" si="0"/>
        <v>0.16546666666666665</v>
      </c>
      <c r="Y22" s="15">
        <f>TRUNC(IF(OR([T]="CV",[T]="VV"),     L22*SETUP!$H$3,     0),2)</f>
        <v>0</v>
      </c>
      <c r="Z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A22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B22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2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22" s="15">
        <f>IF([LUCRO TMP] &lt;&gt; 0, [LUCRO TMP] - SUMPRODUCT(N([ATIVO]=NC[[#This Row],[ATIVO]]),N(['[D/N']]="N"),N([ID]&lt;NC[[#This Row],[ID]]),N([PAR]=NC[[#This Row],[PAR]]), [LUCRO TMP]), 0)</f>
        <v>0</v>
      </c>
      <c r="AE22" s="15">
        <f>IF([U] = "U", SUMPRODUCT(N([ID]&lt;=NC[[#This Row],[ID]]),N([DATA BASE]=NC[[#This Row],[DATA BASE]]), N(['[D/N']] = "N"),    [LUCRO P/ OP]), 0)</f>
        <v>0</v>
      </c>
      <c r="AF22" s="15">
        <f>IF([U] = "U",[LUCRO '[N']] + SUMPRODUCT(N(MONTH([DATA BASE])=MONTH(NC[[#This Row],[DATA BASE]]) - 1), [LUCRO '[N']]),0)</f>
        <v>0</v>
      </c>
      <c r="AG22" s="15">
        <f>IF([U] = "U", SUMPRODUCT(N([DATA BASE]=NC[[#This Row],[DATA BASE]]), N(['[D/N']] = "D"),    [LUCRO P/ OP]), 0)</f>
        <v>0</v>
      </c>
      <c r="AH22" s="20">
        <f>IF([ TRIB. '[N']] &gt; 0,     ROUND([ TRIB. '[N']]*0.15,    2),    0)</f>
        <v>0</v>
      </c>
      <c r="AI22" s="20">
        <f>IF([LUCRO TRIB. DT] &gt; 0,     ROUND([LUCRO TRIB. DT]*0.2,    2)  -  SUMPRODUCT(N([DATA BASE]=NC[[#This Row],[DATA BASE]]),    [IRRF FONTE]),    0)</f>
        <v>0</v>
      </c>
      <c r="AJ22" s="19">
        <f>[IR '[N']] + [IR DEVIDO DT]</f>
        <v>0</v>
      </c>
      <c r="AK22" s="20">
        <f>IF(AND([U] = "U",[IR DEVIDO] &gt; 0), [IR DEVIDO] + 8.9, 0)</f>
        <v>0</v>
      </c>
      <c r="AL22" s="20">
        <f>[LUCRO '[N']]  + [LUCRO TRIB. DT] - [RESGATE]</f>
        <v>0</v>
      </c>
    </row>
    <row r="23" spans="1:38" ht="11.25" customHeight="1">
      <c r="A23" s="13">
        <v>22</v>
      </c>
      <c r="B23" s="13"/>
      <c r="C23" s="13" t="s">
        <v>57</v>
      </c>
      <c r="D23" s="13" t="s">
        <v>26</v>
      </c>
      <c r="E23" s="14">
        <v>41002</v>
      </c>
      <c r="F23" s="13">
        <v>1900</v>
      </c>
      <c r="G23" s="15">
        <v>0.09</v>
      </c>
      <c r="H23" s="13" t="s">
        <v>6</v>
      </c>
      <c r="I23" s="14">
        <f>WORKDAY(NC[[#This Row],[DATA]],1,0)</f>
        <v>41003</v>
      </c>
      <c r="J23" s="22">
        <f>EOMONTH(NC[[#This Row],[DATA DE LIQUIDAÇÃO]],0)</f>
        <v>41029</v>
      </c>
      <c r="K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3" s="15">
        <f>[QTDE]*[PREÇO]</f>
        <v>171</v>
      </c>
      <c r="M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N23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0.04</v>
      </c>
      <c r="O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3" s="15">
        <f>SETUP!$E$3*SUMPRODUCT(N([DATA]=NC[[#This Row],[DATA]]),N([ID]&lt;=NC[[#This Row],[ID]]))</f>
        <v>14.9</v>
      </c>
      <c r="R23" s="15">
        <f>TRUNC([CORRETAGEM]*SETUP!$F$3,2)</f>
        <v>0.28999999999999998</v>
      </c>
      <c r="S23" s="15">
        <f>ROUND([CORRETAGEM]*SETUP!$G$3,2)</f>
        <v>0.57999999999999996</v>
      </c>
      <c r="T23" s="15">
        <f>[VALOR LÍQUIDO DAS OPERAÇÕES]-[TAXA DE LIQUIDAÇÃO]-[EMOLUMENTOS]-[TAXA DE REGISTRO]-[CORRETAGEM]-[ISS]-IF(['[D/N']]="D",    0,    [OUTRAS BOVESPA])</f>
        <v>155.01999999999998</v>
      </c>
      <c r="U23" s="15">
        <f>IF(AND(['[D/N']]="D",    [T]="CV"),    ROUND([LÍQUIDO BASE]*0.01, 2),    0)</f>
        <v>0</v>
      </c>
      <c r="V23" s="15">
        <f>IF([PREÇO] &gt; 0,    [LÍQUIDO BASE]-SUMPRODUCT(N([DATA]=NC[[#This Row],[DATA]]),    [IRRF FONTE]),    0)</f>
        <v>155.01999999999998</v>
      </c>
      <c r="W23" s="20">
        <f>[LÍQUIDO]-SUMPRODUCT(N([DATA]=NC[[#This Row],[DATA]]),N([ID]=(NC[[#This Row],[ID]]-1)),[LÍQUIDO])</f>
        <v>155.01999999999998</v>
      </c>
      <c r="X23" s="15">
        <f t="shared" si="0"/>
        <v>8.1589473684210517E-2</v>
      </c>
      <c r="Y23" s="15">
        <f>TRUNC(IF(OR([T]="CV",[T]="VV"),     L23*SETUP!$H$3,     0),2)</f>
        <v>0</v>
      </c>
      <c r="Z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3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B23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8.1589473684210517E-2</v>
      </c>
      <c r="AC23" s="16">
        <f xml:space="preserve">  IF([PREÇO] &gt; 0,  IF(AND([MED CP] &gt; 0, [MED VD] &gt; 0), ([MED VD] - [MED CP]) * [QTDE], 0),    IF(AND([MED CP] &gt; 0, [MED VD] = 0), ([MED VD] - [MED CP]) * [QTDE], 0)) + [IRRF FONTE]</f>
        <v>-317.37</v>
      </c>
      <c r="AD23" s="15">
        <f>IF([LUCRO TMP] &lt;&gt; 0, [LUCRO TMP] - SUMPRODUCT(N([ATIVO]=NC[[#This Row],[ATIVO]]),N(['[D/N']]="N"),N([ID]&lt;NC[[#This Row],[ID]]),N([PAR]=NC[[#This Row],[PAR]]), [LUCRO TMP]), 0)</f>
        <v>-317.37</v>
      </c>
      <c r="AE23" s="15">
        <f>IF([U] = "U", SUMPRODUCT(N([ID]&lt;=NC[[#This Row],[ID]]),N([DATA BASE]=NC[[#This Row],[DATA BASE]]), N(['[D/N']] = "N"),    [LUCRO P/ OP]), 0)</f>
        <v>0</v>
      </c>
      <c r="AF23" s="15">
        <f>IF([U] = "U",[LUCRO '[N']] + SUMPRODUCT(N(MONTH([DATA BASE])=MONTH(NC[[#This Row],[DATA BASE]]) - 1), [LUCRO '[N']]),0)</f>
        <v>0</v>
      </c>
      <c r="AG23" s="15">
        <f>IF([U] = "U", SUMPRODUCT(N([DATA BASE]=NC[[#This Row],[DATA BASE]]), N(['[D/N']] = "D"),    [LUCRO P/ OP]), 0)</f>
        <v>0</v>
      </c>
      <c r="AH23" s="20">
        <f>IF([ TRIB. '[N']] &gt; 0,     ROUND([ TRIB. '[N']]*0.15,    2),    0)</f>
        <v>0</v>
      </c>
      <c r="AI23" s="20">
        <f>IF([LUCRO TRIB. DT] &gt; 0,     ROUND([LUCRO TRIB. DT]*0.2,    2)  -  SUMPRODUCT(N([DATA BASE]=NC[[#This Row],[DATA BASE]]),    [IRRF FONTE]),    0)</f>
        <v>0</v>
      </c>
      <c r="AJ23" s="19">
        <f>[IR '[N']] + [IR DEVIDO DT]</f>
        <v>0</v>
      </c>
      <c r="AK23" s="20">
        <f>IF(AND([U] = "U",[IR DEVIDO] &gt; 0), [IR DEVIDO] + 8.9, 0)</f>
        <v>0</v>
      </c>
      <c r="AL23" s="20">
        <f>[LUCRO '[N']]  + [LUCRO TRIB. DT] - [RESGATE]</f>
        <v>0</v>
      </c>
    </row>
    <row r="24" spans="1:38">
      <c r="A24" s="13">
        <v>23</v>
      </c>
      <c r="B24" s="13"/>
      <c r="C24" s="13" t="s">
        <v>32</v>
      </c>
      <c r="D24" s="13" t="s">
        <v>26</v>
      </c>
      <c r="E24" s="14">
        <v>41003</v>
      </c>
      <c r="F24" s="13">
        <v>1300</v>
      </c>
      <c r="G24" s="15">
        <v>0.05</v>
      </c>
      <c r="H24" s="13" t="s">
        <v>6</v>
      </c>
      <c r="I24" s="14">
        <f>WORKDAY(NC[[#This Row],[DATA]],1,0)</f>
        <v>41004</v>
      </c>
      <c r="J24" s="22">
        <f>EOMONTH(NC[[#This Row],[DATA DE LIQUIDAÇÃO]],0)</f>
        <v>41029</v>
      </c>
      <c r="K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4" s="15">
        <f>[QTDE]*[PREÇO]</f>
        <v>65</v>
      </c>
      <c r="M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N24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0.01</v>
      </c>
      <c r="O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24" s="15">
        <f>SETUP!$E$3*SUMPRODUCT(N([DATA]=NC[[#This Row],[DATA]]),N([ID]&lt;=NC[[#This Row],[ID]]))</f>
        <v>14.9</v>
      </c>
      <c r="R24" s="15">
        <f>TRUNC([CORRETAGEM]*SETUP!$F$3,2)</f>
        <v>0.28999999999999998</v>
      </c>
      <c r="S24" s="15">
        <f>ROUND([CORRETAGEM]*SETUP!$G$3,2)</f>
        <v>0.57999999999999996</v>
      </c>
      <c r="T24" s="15">
        <f>[VALOR LÍQUIDO DAS OPERAÇÕES]-[TAXA DE LIQUIDAÇÃO]-[EMOLUMENTOS]-[TAXA DE REGISTRO]-[CORRETAGEM]-[ISS]-IF(['[D/N']]="D",    0,    [OUTRAS BOVESPA])</f>
        <v>49.16</v>
      </c>
      <c r="U24" s="15">
        <f>IF(AND(['[D/N']]="D",    [T]="CV"),    ROUND([LÍQUIDO BASE]*0.01, 2),    0)</f>
        <v>0</v>
      </c>
      <c r="V24" s="15">
        <f>IF([PREÇO] &gt; 0,    [LÍQUIDO BASE]-SUMPRODUCT(N([DATA]=NC[[#This Row],[DATA]]),    [IRRF FONTE]),    0)</f>
        <v>49.16</v>
      </c>
      <c r="W24" s="20">
        <f>[LÍQUIDO]-SUMPRODUCT(N([DATA]=NC[[#This Row],[DATA]]),N([ID]=(NC[[#This Row],[ID]]-1)),[LÍQUIDO])</f>
        <v>49.16</v>
      </c>
      <c r="X24" s="15">
        <f t="shared" si="0"/>
        <v>3.7815384615384612E-2</v>
      </c>
      <c r="Y24" s="15">
        <f>TRUNC(IF(OR([T]="CV",[T]="VV"),     L24*SETUP!$H$3,     0),2)</f>
        <v>0</v>
      </c>
      <c r="Z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4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B24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3.7815384615384612E-2</v>
      </c>
      <c r="AC24" s="19">
        <f xml:space="preserve">  IF([PREÇO] &gt; 0,  IF(AND([MED CP] &gt; 0, [MED VD] &gt; 0), ([MED VD] - [MED CP]) * [QTDE], 0),    IF(AND([MED CP] &gt; 0, [MED VD] = 0), ([MED VD] - [MED CP]) * [QTDE], 0)) + [IRRF FONTE]</f>
        <v>-509.09999999999997</v>
      </c>
      <c r="AD24" s="15">
        <f>IF([LUCRO TMP] &lt;&gt; 0, [LUCRO TMP] - SUMPRODUCT(N([ATIVO]=NC[[#This Row],[ATIVO]]),N(['[D/N']]="N"),N([ID]&lt;NC[[#This Row],[ID]]),N([PAR]=NC[[#This Row],[PAR]]), [LUCRO TMP]), 0)</f>
        <v>-511.19</v>
      </c>
      <c r="AE24" s="15">
        <f>IF([U] = "U", SUMPRODUCT(N([ID]&lt;=NC[[#This Row],[ID]]),N([DATA BASE]=NC[[#This Row],[DATA BASE]]), N(['[D/N']] = "N"),    [LUCRO P/ OP]), 0)</f>
        <v>0</v>
      </c>
      <c r="AF24" s="15">
        <f>IF([U] = "U",[LUCRO '[N']] + SUMPRODUCT(N(MONTH([DATA BASE])=MONTH(NC[[#This Row],[DATA BASE]]) - 1), [LUCRO '[N']]),0)</f>
        <v>0</v>
      </c>
      <c r="AG24" s="15">
        <f>IF([U] = "U", SUMPRODUCT(N([DATA BASE]=NC[[#This Row],[DATA BASE]]), N(['[D/N']] = "D"),    [LUCRO P/ OP]), 0)</f>
        <v>0</v>
      </c>
      <c r="AH24" s="20">
        <f>IF([ TRIB. '[N']] &gt; 0,     ROUND([ TRIB. '[N']]*0.15,    2),    0)</f>
        <v>0</v>
      </c>
      <c r="AI24" s="20">
        <f>IF([LUCRO TRIB. DT] &gt; 0,     ROUND([LUCRO TRIB. DT]*0.2,    2)  -  SUMPRODUCT(N([DATA BASE]=NC[[#This Row],[DATA BASE]]),    [IRRF FONTE]),    0)</f>
        <v>0</v>
      </c>
      <c r="AJ24" s="19">
        <f>[IR '[N']] + [IR DEVIDO DT]</f>
        <v>0</v>
      </c>
      <c r="AK24" s="20">
        <f>IF(AND([U] = "U",[IR DEVIDO] &gt; 0), [IR DEVIDO] + 8.9, 0)</f>
        <v>0</v>
      </c>
      <c r="AL24" s="20">
        <f>[LUCRO '[N']]  + [LUCRO TRIB. DT] - [RESGATE]</f>
        <v>0</v>
      </c>
    </row>
    <row r="25" spans="1:38" ht="11.25" customHeight="1">
      <c r="A25" s="13">
        <v>24</v>
      </c>
      <c r="B25" s="13"/>
      <c r="C25" s="13" t="s">
        <v>61</v>
      </c>
      <c r="D25" s="13" t="s">
        <v>25</v>
      </c>
      <c r="E25" s="14">
        <v>41004</v>
      </c>
      <c r="F25" s="13">
        <v>800</v>
      </c>
      <c r="G25" s="15">
        <v>0.5</v>
      </c>
      <c r="H25" s="13" t="s">
        <v>6</v>
      </c>
      <c r="I25" s="14">
        <f>WORKDAY(NC[[#This Row],[DATA]],1,0)</f>
        <v>41005</v>
      </c>
      <c r="J25" s="22">
        <f>EOMONTH(NC[[#This Row],[DATA DE LIQUIDAÇÃO]],0)</f>
        <v>41029</v>
      </c>
      <c r="K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5" s="15">
        <f>[QTDE]*[PREÇO]</f>
        <v>400</v>
      </c>
      <c r="M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N25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0.11</v>
      </c>
      <c r="O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P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Q25" s="15">
        <f>SETUP!$E$3*SUMPRODUCT(N([DATA]=NC[[#This Row],[DATA]]),N([ID]&lt;=NC[[#This Row],[ID]]))</f>
        <v>14.9</v>
      </c>
      <c r="R25" s="15">
        <f>TRUNC([CORRETAGEM]*SETUP!$F$3,2)</f>
        <v>0.28999999999999998</v>
      </c>
      <c r="S25" s="15">
        <f>ROUND([CORRETAGEM]*SETUP!$G$3,2)</f>
        <v>0.57999999999999996</v>
      </c>
      <c r="T25" s="15">
        <f>[VALOR LÍQUIDO DAS OPERAÇÕES]-[TAXA DE LIQUIDAÇÃO]-[EMOLUMENTOS]-[TAXA DE REGISTRO]-[CORRETAGEM]-[ISS]-IF(['[D/N']]="D",    0,    [OUTRAS BOVESPA])</f>
        <v>-416.28999999999996</v>
      </c>
      <c r="U25" s="15">
        <f>IF(AND(['[D/N']]="D",    [T]="CV"),    ROUND([LÍQUIDO BASE]*0.01, 2),    0)</f>
        <v>0</v>
      </c>
      <c r="V25" s="15">
        <f>IF([PREÇO] &gt; 0,    [LÍQUIDO BASE]-SUMPRODUCT(N([DATA]=NC[[#This Row],[DATA]]),    [IRRF FONTE]),    0)</f>
        <v>-416.28999999999996</v>
      </c>
      <c r="W25" s="20">
        <f>[LÍQUIDO]-SUMPRODUCT(N([DATA]=NC[[#This Row],[DATA]]),N([ID]=(NC[[#This Row],[ID]]-1)),[LÍQUIDO])</f>
        <v>-416.28999999999996</v>
      </c>
      <c r="X25" s="15">
        <f t="shared" si="0"/>
        <v>0.52036249999999995</v>
      </c>
      <c r="Y25" s="15">
        <f>TRUNC(IF(OR([T]="CV",[T]="VV"),     L25*SETUP!$H$3,     0),2)</f>
        <v>0</v>
      </c>
      <c r="Z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25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B25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5" s="16">
        <f xml:space="preserve">  IF([PREÇO] &gt; 0,  IF(AND([MED CP] &gt; 0, [MED VD] &gt; 0), ([MED VD] - [MED CP]) * [QTDE], 0),    IF(AND([MED CP] &gt; 0, [MED VD] = 0), ([MED VD] - [MED CP]) * [QTDE], 0)) + [IRRF FONTE]</f>
        <v>0</v>
      </c>
      <c r="AD25" s="15">
        <f>IF([LUCRO TMP] &lt;&gt; 0, [LUCRO TMP] - SUMPRODUCT(N([ATIVO]=NC[[#This Row],[ATIVO]]),N(['[D/N']]="N"),N([ID]&lt;NC[[#This Row],[ID]]),N([PAR]=NC[[#This Row],[PAR]]), [LUCRO TMP]), 0)</f>
        <v>0</v>
      </c>
      <c r="AE25" s="15">
        <f>IF([U] = "U", SUMPRODUCT(N([ID]&lt;=NC[[#This Row],[ID]]),N([DATA BASE]=NC[[#This Row],[DATA BASE]]), N(['[D/N']] = "N"),    [LUCRO P/ OP]), 0)</f>
        <v>0</v>
      </c>
      <c r="AF25" s="15">
        <f>IF([U] = "U",[LUCRO '[N']] + SUMPRODUCT(N(MONTH([DATA BASE])=MONTH(NC[[#This Row],[DATA BASE]]) - 1), [LUCRO '[N']]),0)</f>
        <v>0</v>
      </c>
      <c r="AG25" s="15">
        <f>IF([U] = "U", SUMPRODUCT(N([DATA BASE]=NC[[#This Row],[DATA BASE]]), N(['[D/N']] = "D"),    [LUCRO P/ OP]), 0)</f>
        <v>0</v>
      </c>
      <c r="AH25" s="20">
        <f>IF([ TRIB. '[N']] &gt; 0,     ROUND([ TRIB. '[N']]*0.15,    2),    0)</f>
        <v>0</v>
      </c>
      <c r="AI25" s="20">
        <f>IF([LUCRO TRIB. DT] &gt; 0,     ROUND([LUCRO TRIB. DT]*0.2,    2)  -  SUMPRODUCT(N([DATA BASE]=NC[[#This Row],[DATA BASE]]),    [IRRF FONTE]),    0)</f>
        <v>0</v>
      </c>
      <c r="AJ25" s="19">
        <f>[IR '[N']] + [IR DEVIDO DT]</f>
        <v>0</v>
      </c>
      <c r="AK25" s="20">
        <f>IF(AND([U] = "U",[IR DEVIDO] &gt; 0), [IR DEVIDO] + 8.9, 0)</f>
        <v>0</v>
      </c>
      <c r="AL25" s="20">
        <f>[LUCRO '[N']]  + [LUCRO TRIB. DT] - [RESGATE]</f>
        <v>0</v>
      </c>
    </row>
    <row r="26" spans="1:38" ht="11.25" customHeight="1">
      <c r="A26" s="13">
        <v>25</v>
      </c>
      <c r="B26" s="13"/>
      <c r="C26" s="13" t="s">
        <v>61</v>
      </c>
      <c r="D26" s="13" t="s">
        <v>26</v>
      </c>
      <c r="E26" s="14">
        <v>41010</v>
      </c>
      <c r="F26" s="13">
        <v>800</v>
      </c>
      <c r="G26" s="15">
        <v>1</v>
      </c>
      <c r="H26" s="13" t="s">
        <v>6</v>
      </c>
      <c r="I26" s="14">
        <f>WORKDAY(NC[[#This Row],[DATA]],1,0)</f>
        <v>41011</v>
      </c>
      <c r="J26" s="22">
        <f>EOMONTH(NC[[#This Row],[DATA DE LIQUIDAÇÃO]],0)</f>
        <v>41029</v>
      </c>
      <c r="K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6" s="15">
        <f>[QTDE]*[PREÇO]</f>
        <v>800</v>
      </c>
      <c r="M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N26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0.22</v>
      </c>
      <c r="O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P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Q26" s="15">
        <f>SETUP!$E$3*SUMPRODUCT(N([DATA]=NC[[#This Row],[DATA]]),N([ID]&lt;=NC[[#This Row],[ID]]))</f>
        <v>14.9</v>
      </c>
      <c r="R26" s="15">
        <f>TRUNC([CORRETAGEM]*SETUP!$F$3,2)</f>
        <v>0.28999999999999998</v>
      </c>
      <c r="S26" s="15">
        <f>ROUND([CORRETAGEM]*SETUP!$G$3,2)</f>
        <v>0.57999999999999996</v>
      </c>
      <c r="T26" s="15">
        <f>[VALOR LÍQUIDO DAS OPERAÇÕES]-[TAXA DE LIQUIDAÇÃO]-[EMOLUMENTOS]-[TAXA DE REGISTRO]-[CORRETAGEM]-[ISS]-IF(['[D/N']]="D",    0,    [OUTRAS BOVESPA])</f>
        <v>783.17000000000007</v>
      </c>
      <c r="U26" s="15">
        <f>IF(AND(['[D/N']]="D",    [T]="CV"),    ROUND([LÍQUIDO BASE]*0.01, 2),    0)</f>
        <v>0</v>
      </c>
      <c r="V26" s="15">
        <f>IF([PREÇO] &gt; 0,    [LÍQUIDO BASE]-SUMPRODUCT(N([DATA]=NC[[#This Row],[DATA]]),    [IRRF FONTE]),    0)</f>
        <v>783.17000000000007</v>
      </c>
      <c r="W26" s="20">
        <f>[LÍQUIDO]-SUMPRODUCT(N([DATA]=NC[[#This Row],[DATA]]),N([ID]=(NC[[#This Row],[ID]]-1)),[LÍQUIDO])</f>
        <v>783.17000000000007</v>
      </c>
      <c r="X26" s="15">
        <f t="shared" si="0"/>
        <v>0.97896250000000007</v>
      </c>
      <c r="Y26" s="15">
        <f>TRUNC(IF(OR([T]="CV",[T]="VV"),     L26*SETUP!$H$3,     0),2)</f>
        <v>0.04</v>
      </c>
      <c r="Z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6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B26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0.97896250000000007</v>
      </c>
      <c r="AC26" s="16">
        <f xml:space="preserve">  IF([PREÇO] &gt; 0,  IF(AND([MED CP] &gt; 0, [MED VD] &gt; 0), ([MED VD] - [MED CP]) * [QTDE], 0),    IF(AND([MED CP] &gt; 0, [MED VD] = 0), ([MED VD] - [MED CP]) * [QTDE], 0)) + [IRRF FONTE]</f>
        <v>366.88000000000011</v>
      </c>
      <c r="AD26" s="15">
        <f>IF([LUCRO TMP] &lt;&gt; 0, [LUCRO TMP] - SUMPRODUCT(N([ATIVO]=NC[[#This Row],[ATIVO]]),N(['[D/N']]="N"),N([ID]&lt;NC[[#This Row],[ID]]),N([PAR]=NC[[#This Row],[PAR]]), [LUCRO TMP]), 0)</f>
        <v>366.88000000000011</v>
      </c>
      <c r="AE26" s="15">
        <f>IF([U] = "U", SUMPRODUCT(N([ID]&lt;=NC[[#This Row],[ID]]),N([DATA BASE]=NC[[#This Row],[DATA BASE]]), N(['[D/N']] = "N"),    [LUCRO P/ OP]), 0)</f>
        <v>0</v>
      </c>
      <c r="AF26" s="15">
        <f>IF([U] = "U",[LUCRO '[N']] + SUMPRODUCT(N(MONTH([DATA BASE])=MONTH(NC[[#This Row],[DATA BASE]]) - 1), [LUCRO '[N']]),0)</f>
        <v>0</v>
      </c>
      <c r="AG26" s="15">
        <f>IF([U] = "U", SUMPRODUCT(N([DATA BASE]=NC[[#This Row],[DATA BASE]]), N(['[D/N']] = "D"),    [LUCRO P/ OP]), 0)</f>
        <v>0</v>
      </c>
      <c r="AH26" s="20">
        <f>IF([ TRIB. '[N']] &gt; 0,     ROUND([ TRIB. '[N']]*0.15,    2),    0)</f>
        <v>0</v>
      </c>
      <c r="AI26" s="20">
        <f>IF([LUCRO TRIB. DT] &gt; 0,     ROUND([LUCRO TRIB. DT]*0.2,    2)  -  SUMPRODUCT(N([DATA BASE]=NC[[#This Row],[DATA BASE]]),    [IRRF FONTE]),    0)</f>
        <v>0</v>
      </c>
      <c r="AJ26" s="19">
        <f>[IR '[N']] + [IR DEVIDO DT]</f>
        <v>0</v>
      </c>
      <c r="AK26" s="20">
        <f>IF(AND([U] = "U",[IR DEVIDO] &gt; 0), [IR DEVIDO] + 8.9, 0)</f>
        <v>0</v>
      </c>
      <c r="AL26" s="20">
        <f>[LUCRO '[N']]  + [LUCRO TRIB. DT] - [RESGATE]</f>
        <v>0</v>
      </c>
    </row>
    <row r="27" spans="1:38" ht="11.25" customHeight="1">
      <c r="A27" s="13">
        <v>26</v>
      </c>
      <c r="B27" s="13"/>
      <c r="C27" s="13" t="s">
        <v>56</v>
      </c>
      <c r="D27" s="13" t="s">
        <v>26</v>
      </c>
      <c r="E27" s="14">
        <v>41016</v>
      </c>
      <c r="F27" s="13">
        <v>3000</v>
      </c>
      <c r="G27" s="15">
        <v>0</v>
      </c>
      <c r="H27" s="13" t="s">
        <v>6</v>
      </c>
      <c r="I27" s="14">
        <f>WORKDAY(NC[[#This Row],[DATA]],1,0)</f>
        <v>41017</v>
      </c>
      <c r="J27" s="22">
        <f>EOMONTH(NC[[#This Row],[DATA DE LIQUIDAÇÃO]],0)</f>
        <v>41029</v>
      </c>
      <c r="K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7" s="15">
        <f>[QTDE]*[PREÇO]</f>
        <v>0</v>
      </c>
      <c r="M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27" s="15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</v>
      </c>
      <c r="O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27" s="15">
        <f>SETUP!$E$3*SUMPRODUCT(N([DATA]=NC[[#This Row],[DATA]]),N([ID]&lt;=NC[[#This Row],[ID]]))</f>
        <v>14.9</v>
      </c>
      <c r="R27" s="15">
        <f>TRUNC([CORRETAGEM]*SETUP!$F$3,2)</f>
        <v>0.28999999999999998</v>
      </c>
      <c r="S27" s="15">
        <f>ROUND([CORRETAGEM]*SETUP!$G$3,2)</f>
        <v>0.57999999999999996</v>
      </c>
      <c r="T27" s="15">
        <f>[VALOR LÍQUIDO DAS OPERAÇÕES]-[TAXA DE LIQUIDAÇÃO]-[EMOLUMENTOS]-[TAXA DE REGISTRO]-[CORRETAGEM]-[ISS]-IF(['[D/N']]="D",    0,    [OUTRAS BOVESPA])</f>
        <v>-15.77</v>
      </c>
      <c r="U27" s="15">
        <f>IF(AND(['[D/N']]="D",    [T]="CV"),    ROUND([LÍQUIDO BASE]*0.01, 2),    0)</f>
        <v>0</v>
      </c>
      <c r="V27" s="15">
        <f>IF([PREÇO] &gt; 0,    [LÍQUIDO BASE]-SUMPRODUCT(N([DATA]=NC[[#This Row],[DATA]]),    [IRRF FONTE]),    0)</f>
        <v>0</v>
      </c>
      <c r="W27" s="20">
        <f>[LÍQUIDO]-SUMPRODUCT(N([DATA]=NC[[#This Row],[DATA]]),N([ID]=(NC[[#This Row],[ID]]-1)),[LÍQUIDO])</f>
        <v>0</v>
      </c>
      <c r="X27" s="15">
        <f t="shared" si="0"/>
        <v>0</v>
      </c>
      <c r="Y27" s="15">
        <f>TRUNC(IF(OR([T]="CV",[T]="VV"),     L27*SETUP!$H$3,     0),2)</f>
        <v>0</v>
      </c>
      <c r="Z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7" s="16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B27" s="16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7" s="16">
        <f xml:space="preserve">  IF([PREÇO] &gt; 0,  IF(AND([MED CP] &gt; 0, [MED VD] &gt; 0), ([MED VD] - [MED CP]) * [QTDE], 0),    IF(AND([MED CP] &gt; 0, [MED VD] = 0), ([MED VD] - [MED CP]) * [QTDE], 0)) + [IRRF FONTE]</f>
        <v>-496.4</v>
      </c>
      <c r="AD27" s="15">
        <f>IF([LUCRO TMP] &lt;&gt; 0, [LUCRO TMP] - SUMPRODUCT(N([ATIVO]=NC[[#This Row],[ATIVO]]),N(['[D/N']]="N"),N([ID]&lt;NC[[#This Row],[ID]]),N([PAR]=NC[[#This Row],[PAR]]), [LUCRO TMP]), 0)</f>
        <v>-496.4</v>
      </c>
      <c r="AE27" s="15">
        <f>IF([U] = "U", SUMPRODUCT(N([ID]&lt;=NC[[#This Row],[ID]]),N([DATA BASE]=NC[[#This Row],[DATA BASE]]), N(['[D/N']] = "N"),    [LUCRO P/ OP]), 0)</f>
        <v>0</v>
      </c>
      <c r="AF27" s="15">
        <f>IF([U] = "U",[LUCRO '[N']] + SUMPRODUCT(N(MONTH([DATA BASE])=MONTH(NC[[#This Row],[DATA BASE]]) - 1), [LUCRO '[N']]),0)</f>
        <v>0</v>
      </c>
      <c r="AG27" s="15">
        <f>IF([U] = "U", SUMPRODUCT(N([DATA BASE]=NC[[#This Row],[DATA BASE]]), N(['[D/N']] = "D"),    [LUCRO P/ OP]), 0)</f>
        <v>0</v>
      </c>
      <c r="AH27" s="20">
        <f>IF([ TRIB. '[N']] &gt; 0,     ROUND([ TRIB. '[N']]*0.15,    2),    0)</f>
        <v>0</v>
      </c>
      <c r="AI27" s="20">
        <f>IF([LUCRO TRIB. DT] &gt; 0,     ROUND([LUCRO TRIB. DT]*0.2,    2)  -  SUMPRODUCT(N([DATA BASE]=NC[[#This Row],[DATA BASE]]),    [IRRF FONTE]),    0)</f>
        <v>0</v>
      </c>
      <c r="AJ27" s="19">
        <f>[IR '[N']] + [IR DEVIDO DT]</f>
        <v>0</v>
      </c>
      <c r="AK27" s="20">
        <f>IF(AND([U] = "U",[IR DEVIDO] &gt; 0), [IR DEVIDO] + 8.9, 0)</f>
        <v>0</v>
      </c>
      <c r="AL27" s="20">
        <f>[LUCRO '[N']]  + [LUCRO TRIB. DT] - [RESGATE]</f>
        <v>0</v>
      </c>
    </row>
    <row r="28" spans="1:38" ht="11.25" customHeight="1">
      <c r="A28" s="13">
        <v>27</v>
      </c>
      <c r="B28" s="35"/>
      <c r="C28" s="35" t="s">
        <v>76</v>
      </c>
      <c r="D28" s="35" t="s">
        <v>25</v>
      </c>
      <c r="E28" s="36">
        <v>41022</v>
      </c>
      <c r="F28" s="35">
        <v>100</v>
      </c>
      <c r="G28" s="31">
        <v>0.75</v>
      </c>
      <c r="H28" s="35" t="s">
        <v>6</v>
      </c>
      <c r="I28" s="36">
        <f>WORKDAY(NC[[#This Row],[DATA]],1,0)</f>
        <v>41023</v>
      </c>
      <c r="J28" s="37">
        <f>EOMONTH(NC[[#This Row],[DATA DE LIQUIDAÇÃO]],0)</f>
        <v>41029</v>
      </c>
      <c r="K28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8" s="31">
        <f>[QTDE]*[PREÇO]</f>
        <v>75</v>
      </c>
      <c r="M28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N28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0.02</v>
      </c>
      <c r="O28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8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Q28" s="31">
        <f>SETUP!$E$3*SUMPRODUCT(N([DATA]=NC[[#This Row],[DATA]]),N([ID]&lt;=NC[[#This Row],[ID]]))</f>
        <v>14.9</v>
      </c>
      <c r="R28" s="31">
        <f>TRUNC([CORRETAGEM]*SETUP!$F$3,2)</f>
        <v>0.28999999999999998</v>
      </c>
      <c r="S28" s="31">
        <f>ROUND([CORRETAGEM]*SETUP!$G$3,2)</f>
        <v>0.57999999999999996</v>
      </c>
      <c r="T28" s="31">
        <f>[VALOR LÍQUIDO DAS OPERAÇÕES]-[TAXA DE LIQUIDAÇÃO]-[EMOLUMENTOS]-[TAXA DE REGISTRO]-[CORRETAGEM]-[ISS]-IF(['[D/N']]="D",    0,    [OUTRAS BOVESPA])</f>
        <v>-90.86</v>
      </c>
      <c r="U28" s="31">
        <f>IF(AND(['[D/N']]="D",    [T]="CV"),    ROUND([LÍQUIDO BASE]*0.01, 2),    0)</f>
        <v>0</v>
      </c>
      <c r="V28" s="15">
        <f>IF([PREÇO] &gt; 0,    [LÍQUIDO BASE]-SUMPRODUCT(N([DATA]=NC[[#This Row],[DATA]]),    [IRRF FONTE]),    0)</f>
        <v>-90.86</v>
      </c>
      <c r="W28" s="38">
        <f>[LÍQUIDO]-SUMPRODUCT(N([DATA]=NC[[#This Row],[DATA]]),N([ID]=(NC[[#This Row],[ID]]-1)),[LÍQUIDO])</f>
        <v>-90.86</v>
      </c>
      <c r="X28" s="31">
        <f t="shared" si="0"/>
        <v>0.90859999999999996</v>
      </c>
      <c r="Y28" s="31">
        <f>TRUNC(IF(OR([T]="CV",[T]="VV"),     L28*SETUP!$H$3,     0),2)</f>
        <v>0</v>
      </c>
      <c r="Z28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28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B28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28" s="39">
        <f xml:space="preserve">  IF([PREÇO] &gt; 0,  IF(AND([MED CP] &gt; 0, [MED VD] &gt; 0), ([MED VD] - [MED CP]) * [QTDE], 0),    IF(AND([MED CP] &gt; 0, [MED VD] = 0), ([MED VD] - [MED CP]) * [QTDE], 0)) + [IRRF FONTE]</f>
        <v>0</v>
      </c>
      <c r="AD28" s="31">
        <f>IF([LUCRO TMP] &lt;&gt; 0, [LUCRO TMP] - SUMPRODUCT(N([ATIVO]=NC[[#This Row],[ATIVO]]),N(['[D/N']]="N"),N([ID]&lt;NC[[#This Row],[ID]]),N([PAR]=NC[[#This Row],[PAR]]), [LUCRO TMP]), 0)</f>
        <v>0</v>
      </c>
      <c r="AE28" s="31">
        <f>IF([U] = "U", SUMPRODUCT(N([ID]&lt;=NC[[#This Row],[ID]]),N([DATA BASE]=NC[[#This Row],[DATA BASE]]), N(['[D/N']] = "N"),    [LUCRO P/ OP]), 0)</f>
        <v>0</v>
      </c>
      <c r="AF28" s="15">
        <f>IF([U] = "U",[LUCRO '[N']] + SUMPRODUCT(N(MONTH([DATA BASE])=MONTH(NC[[#This Row],[DATA BASE]]) - 1), [LUCRO '[N']]),0)</f>
        <v>0</v>
      </c>
      <c r="AG28" s="31">
        <f>IF([U] = "U", SUMPRODUCT(N([DATA BASE]=NC[[#This Row],[DATA BASE]]), N(['[D/N']] = "D"),    [LUCRO P/ OP]), 0)</f>
        <v>0</v>
      </c>
      <c r="AH28" s="38">
        <f>IF([ TRIB. '[N']] &gt; 0,     ROUND([ TRIB. '[N']]*0.15,    2),    0)</f>
        <v>0</v>
      </c>
      <c r="AI28" s="38">
        <f>IF([LUCRO TRIB. DT] &gt; 0,     ROUND([LUCRO TRIB. DT]*0.2,    2)  -  SUMPRODUCT(N([DATA BASE]=NC[[#This Row],[DATA BASE]]),    [IRRF FONTE]),    0)</f>
        <v>0</v>
      </c>
      <c r="AJ28" s="40">
        <f>[IR '[N']] + [IR DEVIDO DT]</f>
        <v>0</v>
      </c>
      <c r="AK28" s="38">
        <f>IF(AND([U] = "U",[IR DEVIDO] &gt; 0), [IR DEVIDO] + 8.9, 0)</f>
        <v>0</v>
      </c>
      <c r="AL28" s="38">
        <f>[LUCRO '[N']]  + [LUCRO TRIB. DT] - [RESGATE]</f>
        <v>0</v>
      </c>
    </row>
    <row r="29" spans="1:38" ht="11.25" customHeight="1">
      <c r="A29" s="13">
        <v>28</v>
      </c>
      <c r="B29" s="35"/>
      <c r="C29" s="35" t="s">
        <v>77</v>
      </c>
      <c r="D29" s="35" t="s">
        <v>78</v>
      </c>
      <c r="E29" s="36">
        <v>41022</v>
      </c>
      <c r="F29" s="35">
        <v>100</v>
      </c>
      <c r="G29" s="31">
        <v>1.93</v>
      </c>
      <c r="H29" s="35" t="s">
        <v>6</v>
      </c>
      <c r="I29" s="36">
        <f>WORKDAY(NC[[#This Row],[DATA]],1,0)</f>
        <v>41023</v>
      </c>
      <c r="J29" s="37">
        <f>EOMONTH(NC[[#This Row],[DATA DE LIQUIDAÇÃO]],0)</f>
        <v>41029</v>
      </c>
      <c r="K29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9" s="31">
        <f>[QTDE]*[PREÇO]</f>
        <v>193</v>
      </c>
      <c r="M29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N29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7.0000000000000007E-2</v>
      </c>
      <c r="O29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P29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Q29" s="31">
        <f>SETUP!$E$3*SUMPRODUCT(N([DATA]=NC[[#This Row],[DATA]]),N([ID]&lt;=NC[[#This Row],[ID]]))</f>
        <v>29.8</v>
      </c>
      <c r="R29" s="31">
        <f>TRUNC([CORRETAGEM]*SETUP!$F$3,2)</f>
        <v>0.59</v>
      </c>
      <c r="S29" s="31">
        <f>ROUND([CORRETAGEM]*SETUP!$G$3,2)</f>
        <v>1.1599999999999999</v>
      </c>
      <c r="T29" s="31">
        <f>[VALOR LÍQUIDO DAS OPERAÇÕES]-[TAXA DE LIQUIDAÇÃO]-[EMOLUMENTOS]-[TAXA DE REGISTRO]-[CORRETAGEM]-[ISS]-IF(['[D/N']]="D",    0,    [OUTRAS BOVESPA])</f>
        <v>86.11</v>
      </c>
      <c r="U29" s="31">
        <f>IF(AND(['[D/N']]="D",    [T]="CV"),    ROUND([LÍQUIDO BASE]*0.01, 2),    0)</f>
        <v>0</v>
      </c>
      <c r="V29" s="15">
        <f>IF([PREÇO] &gt; 0,    [LÍQUIDO BASE]-SUMPRODUCT(N([DATA]=NC[[#This Row],[DATA]]),    [IRRF FONTE]),    0)</f>
        <v>86.11</v>
      </c>
      <c r="W29" s="38">
        <f>[LÍQUIDO]-SUMPRODUCT(N([DATA]=NC[[#This Row],[DATA]]),N([ID]=(NC[[#This Row],[ID]]-1)),[LÍQUIDO])</f>
        <v>176.97</v>
      </c>
      <c r="X29" s="31">
        <f t="shared" si="0"/>
        <v>1.7697000000000001</v>
      </c>
      <c r="Y29" s="31">
        <f>TRUNC(IF(OR([T]="CV",[T]="VV"),     L29*SETUP!$H$3,     0),2)</f>
        <v>0</v>
      </c>
      <c r="Z29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A29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B29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1.7697000000000001</v>
      </c>
      <c r="AC29" s="39">
        <f xml:space="preserve">  IF([PREÇO] &gt; 0,  IF(AND([MED CP] &gt; 0, [MED VD] &gt; 0), ([MED VD] - [MED CP]) * [QTDE], 0),    IF(AND([MED CP] &gt; 0, [MED VD] = 0), ([MED VD] - [MED CP]) * [QTDE], 0)) + [IRRF FONTE]</f>
        <v>0</v>
      </c>
      <c r="AD29" s="31">
        <f>IF([LUCRO TMP] &lt;&gt; 0, [LUCRO TMP] - SUMPRODUCT(N([ATIVO]=NC[[#This Row],[ATIVO]]),N(['[D/N']]="N"),N([ID]&lt;NC[[#This Row],[ID]]),N([PAR]=NC[[#This Row],[PAR]]), [LUCRO TMP]), 0)</f>
        <v>0</v>
      </c>
      <c r="AE29" s="31">
        <f>IF([U] = "U", SUMPRODUCT(N([ID]&lt;=NC[[#This Row],[ID]]),N([DATA BASE]=NC[[#This Row],[DATA BASE]]), N(['[D/N']] = "N"),    [LUCRO P/ OP]), 0)</f>
        <v>0</v>
      </c>
      <c r="AF29" s="15">
        <f>IF([U] = "U",[LUCRO '[N']] + SUMPRODUCT(N(MONTH([DATA BASE])=MONTH(NC[[#This Row],[DATA BASE]]) - 1), [LUCRO '[N']]),0)</f>
        <v>0</v>
      </c>
      <c r="AG29" s="31">
        <f>IF([U] = "U", SUMPRODUCT(N([DATA BASE]=NC[[#This Row],[DATA BASE]]), N(['[D/N']] = "D"),    [LUCRO P/ OP]), 0)</f>
        <v>0</v>
      </c>
      <c r="AH29" s="38">
        <f>IF([ TRIB. '[N']] &gt; 0,     ROUND([ TRIB. '[N']]*0.15,    2),    0)</f>
        <v>0</v>
      </c>
      <c r="AI29" s="38">
        <f>IF([LUCRO TRIB. DT] &gt; 0,     ROUND([LUCRO TRIB. DT]*0.2,    2)  -  SUMPRODUCT(N([DATA BASE]=NC[[#This Row],[DATA BASE]]),    [IRRF FONTE]),    0)</f>
        <v>0</v>
      </c>
      <c r="AJ29" s="40">
        <f>[IR '[N']] + [IR DEVIDO DT]</f>
        <v>0</v>
      </c>
      <c r="AK29" s="38">
        <f>IF(AND([U] = "U",[IR DEVIDO] &gt; 0), [IR DEVIDO] + 8.9, 0)</f>
        <v>0</v>
      </c>
      <c r="AL29" s="38">
        <f>[LUCRO '[N']]  + [LUCRO TRIB. DT] - [RESGATE]</f>
        <v>0</v>
      </c>
    </row>
    <row r="30" spans="1:38" ht="11.25" customHeight="1">
      <c r="A30" s="13">
        <v>29</v>
      </c>
      <c r="B30" s="35" t="s">
        <v>54</v>
      </c>
      <c r="C30" s="35" t="s">
        <v>66</v>
      </c>
      <c r="D30" s="35" t="s">
        <v>25</v>
      </c>
      <c r="E30" s="36">
        <v>41026</v>
      </c>
      <c r="F30" s="35">
        <v>300</v>
      </c>
      <c r="G30" s="31">
        <v>0.32</v>
      </c>
      <c r="H30" s="35" t="s">
        <v>6</v>
      </c>
      <c r="I30" s="36">
        <f>WORKDAY(NC[[#This Row],[DATA]],1,0)</f>
        <v>41029</v>
      </c>
      <c r="J30" s="37">
        <f>EOMONTH(NC[[#This Row],[DATA DE LIQUIDAÇÃO]],0)</f>
        <v>41029</v>
      </c>
      <c r="K30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0" s="31">
        <f>[QTDE]*[PREÇO]</f>
        <v>96</v>
      </c>
      <c r="M30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N30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0.02</v>
      </c>
      <c r="O30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30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Q30" s="31">
        <f>SETUP!$E$3*SUMPRODUCT(N([DATA]=NC[[#This Row],[DATA]]),N([ID]&lt;=NC[[#This Row],[ID]]))</f>
        <v>14.9</v>
      </c>
      <c r="R30" s="31">
        <f>TRUNC([CORRETAGEM]*SETUP!$F$3,2)</f>
        <v>0.28999999999999998</v>
      </c>
      <c r="S30" s="31">
        <f>ROUND([CORRETAGEM]*SETUP!$G$3,2)</f>
        <v>0.57999999999999996</v>
      </c>
      <c r="T30" s="31">
        <f>[VALOR LÍQUIDO DAS OPERAÇÕES]-[TAXA DE LIQUIDAÇÃO]-[EMOLUMENTOS]-[TAXA DE REGISTRO]-[CORRETAGEM]-[ISS]-IF(['[D/N']]="D",    0,    [OUTRAS BOVESPA])</f>
        <v>-111.88000000000001</v>
      </c>
      <c r="U30" s="31">
        <f>IF(AND(['[D/N']]="D",    [T]="CV"),    ROUND([LÍQUIDO BASE]*0.01, 2),    0)</f>
        <v>0</v>
      </c>
      <c r="V30" s="15">
        <f>IF([PREÇO] &gt; 0,    [LÍQUIDO BASE]-SUMPRODUCT(N([DATA]=NC[[#This Row],[DATA]]),    [IRRF FONTE]),    0)</f>
        <v>-111.88000000000001</v>
      </c>
      <c r="W30" s="38">
        <f>[LÍQUIDO]-SUMPRODUCT(N([DATA]=NC[[#This Row],[DATA]]),N([ID]=(NC[[#This Row],[ID]]-1)),[LÍQUIDO])</f>
        <v>-111.88000000000001</v>
      </c>
      <c r="X30" s="31">
        <f t="shared" si="0"/>
        <v>0.37293333333333334</v>
      </c>
      <c r="Y30" s="31">
        <f>TRUNC(IF(OR([T]="CV",[T]="VV"),     L30*SETUP!$H$3,     0),2)</f>
        <v>0</v>
      </c>
      <c r="Z30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A30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B30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</v>
      </c>
      <c r="AC30" s="39">
        <f xml:space="preserve">  IF([PREÇO] &gt; 0,  IF(AND([MED CP] &gt; 0, [MED VD] &gt; 0), ([MED VD] - [MED CP]) * [QTDE], 0),    IF(AND([MED CP] &gt; 0, [MED VD] = 0), ([MED VD] - [MED CP]) * [QTDE], 0)) + [IRRF FONTE]</f>
        <v>0</v>
      </c>
      <c r="AD30" s="31">
        <f>IF([LUCRO TMP] &lt;&gt; 0, [LUCRO TMP] - SUMPRODUCT(N([ATIVO]=NC[[#This Row],[ATIVO]]),N(['[D/N']]="N"),N([ID]&lt;NC[[#This Row],[ID]]),N([PAR]=NC[[#This Row],[PAR]]), [LUCRO TMP]), 0)</f>
        <v>0</v>
      </c>
      <c r="AE30" s="31">
        <f>IF([U] = "U", SUMPRODUCT(N([ID]&lt;=NC[[#This Row],[ID]]),N([DATA BASE]=NC[[#This Row],[DATA BASE]]), N(['[D/N']] = "N"),    [LUCRO P/ OP]), 0)</f>
        <v>-958.07999999999981</v>
      </c>
      <c r="AF30" s="15">
        <f>IF([U] = "U",[LUCRO '[N']] + SUMPRODUCT(N(MONTH([DATA BASE])=MONTH(NC[[#This Row],[DATA BASE]]) - 1), [LUCRO '[N']]),0)</f>
        <v>-1614.8899999999999</v>
      </c>
      <c r="AG30" s="31">
        <f>IF([U] = "U", SUMPRODUCT(N([DATA BASE]=NC[[#This Row],[DATA BASE]]), N(['[D/N']] = "D"),    [LUCRO P/ OP]), 0)</f>
        <v>0</v>
      </c>
      <c r="AH30" s="38">
        <f>IF([ TRIB. '[N']] &gt; 0,     ROUND([ TRIB. '[N']]*0.15,    2),    0)</f>
        <v>0</v>
      </c>
      <c r="AI30" s="38">
        <f>IF([LUCRO TRIB. DT] &gt; 0,     ROUND([LUCRO TRIB. DT]*0.2,    2)  -  SUMPRODUCT(N([DATA BASE]=NC[[#This Row],[DATA BASE]]),    [IRRF FONTE]),    0)</f>
        <v>0</v>
      </c>
      <c r="AJ30" s="40">
        <f>[IR '[N']] + [IR DEVIDO DT]</f>
        <v>0</v>
      </c>
      <c r="AK30" s="38">
        <f>IF(AND([U] = "U",[IR DEVIDO] &gt; 0), [IR DEVIDO] + 8.9, 0)</f>
        <v>0</v>
      </c>
      <c r="AL30" s="38">
        <f>[LUCRO '[N']]  + [LUCRO TRIB. DT] - [RESGATE]</f>
        <v>-958.07999999999981</v>
      </c>
    </row>
    <row r="31" spans="1:38" ht="11.25" customHeight="1">
      <c r="A31" s="13">
        <v>30</v>
      </c>
      <c r="B31" s="35"/>
      <c r="C31" s="35" t="s">
        <v>76</v>
      </c>
      <c r="D31" s="35" t="s">
        <v>26</v>
      </c>
      <c r="E31" s="36">
        <v>41029</v>
      </c>
      <c r="F31" s="35">
        <v>100</v>
      </c>
      <c r="G31" s="31">
        <v>0.64</v>
      </c>
      <c r="H31" s="35" t="s">
        <v>6</v>
      </c>
      <c r="I31" s="36">
        <f>WORKDAY(NC[[#This Row],[DATA]],1,0)</f>
        <v>41030</v>
      </c>
      <c r="J31" s="37">
        <f>EOMONTH(NC[[#This Row],[DATA DE LIQUIDAÇÃO]],0)</f>
        <v>41060</v>
      </c>
      <c r="K31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1" s="31">
        <f>[QTDE]*[PREÇO]</f>
        <v>64</v>
      </c>
      <c r="M31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64</v>
      </c>
      <c r="N31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0.01</v>
      </c>
      <c r="O31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31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31" s="31">
        <f>SETUP!$E$3*SUMPRODUCT(N([DATA]=NC[[#This Row],[DATA]]),N([ID]&lt;=NC[[#This Row],[ID]]))</f>
        <v>14.9</v>
      </c>
      <c r="R31" s="31">
        <f>TRUNC([CORRETAGEM]*SETUP!$F$3,2)</f>
        <v>0.28999999999999998</v>
      </c>
      <c r="S31" s="31">
        <f>ROUND([CORRETAGEM]*SETUP!$G$3,2)</f>
        <v>0.57999999999999996</v>
      </c>
      <c r="T31" s="31">
        <f>[VALOR LÍQUIDO DAS OPERAÇÕES]-[TAXA DE LIQUIDAÇÃO]-[EMOLUMENTOS]-[TAXA DE REGISTRO]-[CORRETAGEM]-[ISS]-IF(['[D/N']]="D",    0,    [OUTRAS BOVESPA])</f>
        <v>48.160000000000004</v>
      </c>
      <c r="U31" s="31">
        <f>IF(AND(['[D/N']]="D",    [T]="CV"),    ROUND([LÍQUIDO BASE]*0.01, 2),    0)</f>
        <v>0</v>
      </c>
      <c r="V31" s="15">
        <f>IF([PREÇO] &gt; 0,    [LÍQUIDO BASE]-SUMPRODUCT(N([DATA]=NC[[#This Row],[DATA]]),    [IRRF FONTE]),    0)</f>
        <v>48.160000000000004</v>
      </c>
      <c r="W31" s="38">
        <f>[LÍQUIDO]-SUMPRODUCT(N([DATA]=NC[[#This Row],[DATA]]),N([ID]=(NC[[#This Row],[ID]]-1)),[LÍQUIDO])</f>
        <v>48.160000000000004</v>
      </c>
      <c r="X31" s="31">
        <f t="shared" si="0"/>
        <v>0.48160000000000003</v>
      </c>
      <c r="Y31" s="31">
        <f>TRUNC(IF(OR([T]="CV",[T]="VV"),     L31*SETUP!$H$3,     0),2)</f>
        <v>0</v>
      </c>
      <c r="Z31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1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B31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0.48160000000000003</v>
      </c>
      <c r="AC31" s="39">
        <f xml:space="preserve">  IF([PREÇO] &gt; 0,  IF(AND([MED CP] &gt; 0, [MED VD] &gt; 0), ([MED VD] - [MED CP]) * [QTDE], 0),    IF(AND([MED CP] &gt; 0, [MED VD] = 0), ([MED VD] - [MED CP]) * [QTDE], 0)) + [IRRF FONTE]</f>
        <v>-42.699999999999996</v>
      </c>
      <c r="AD31" s="31">
        <f>IF([LUCRO TMP] &lt;&gt; 0, [LUCRO TMP] - SUMPRODUCT(N([ATIVO]=NC[[#This Row],[ATIVO]]),N(['[D/N']]="N"),N([ID]&lt;NC[[#This Row],[ID]]),N([PAR]=NC[[#This Row],[PAR]]), [LUCRO TMP]), 0)</f>
        <v>-42.699999999999996</v>
      </c>
      <c r="AE31" s="31">
        <f>IF([U] = "U", SUMPRODUCT(N([ID]&lt;=NC[[#This Row],[ID]]),N([DATA BASE]=NC[[#This Row],[DATA BASE]]), N(['[D/N']] = "N"),    [LUCRO P/ OP]), 0)</f>
        <v>0</v>
      </c>
      <c r="AF31" s="15">
        <f>IF([U] = "U",[LUCRO '[N']] + SUMPRODUCT(N(MONTH([DATA BASE])=MONTH(NC[[#This Row],[DATA BASE]]) - 1), [LUCRO '[N']]),0)</f>
        <v>0</v>
      </c>
      <c r="AG31" s="31">
        <f>IF([U] = "U", SUMPRODUCT(N([DATA BASE]=NC[[#This Row],[DATA BASE]]), N(['[D/N']] = "D"),    [LUCRO P/ OP]), 0)</f>
        <v>0</v>
      </c>
      <c r="AH31" s="38">
        <f>IF([ TRIB. '[N']] &gt; 0,     ROUND([ TRIB. '[N']]*0.15,    2),    0)</f>
        <v>0</v>
      </c>
      <c r="AI31" s="38">
        <f>IF([LUCRO TRIB. DT] &gt; 0,     ROUND([LUCRO TRIB. DT]*0.2,    2)  -  SUMPRODUCT(N([DATA BASE]=NC[[#This Row],[DATA BASE]]),    [IRRF FONTE]),    0)</f>
        <v>0</v>
      </c>
      <c r="AJ31" s="40">
        <f>[IR '[N']] + [IR DEVIDO DT]</f>
        <v>0</v>
      </c>
      <c r="AK31" s="38">
        <f>IF(AND([U] = "U",[IR DEVIDO] &gt; 0), [IR DEVIDO] + 8.9, 0)</f>
        <v>0</v>
      </c>
      <c r="AL31" s="38">
        <f>[LUCRO '[N']]  + [LUCRO TRIB. DT] - [RESGATE]</f>
        <v>0</v>
      </c>
    </row>
    <row r="32" spans="1:38" ht="11.25" customHeight="1">
      <c r="A32" s="13">
        <v>31</v>
      </c>
      <c r="B32" s="35"/>
      <c r="C32" s="35" t="s">
        <v>77</v>
      </c>
      <c r="D32" s="35" t="s">
        <v>79</v>
      </c>
      <c r="E32" s="36">
        <v>41029</v>
      </c>
      <c r="F32" s="35">
        <v>100</v>
      </c>
      <c r="G32" s="31">
        <v>1.84</v>
      </c>
      <c r="H32" s="35" t="s">
        <v>6</v>
      </c>
      <c r="I32" s="36">
        <f>WORKDAY(NC[[#This Row],[DATA]],1,0)</f>
        <v>41030</v>
      </c>
      <c r="J32" s="37">
        <f>EOMONTH(NC[[#This Row],[DATA DE LIQUIDAÇÃO]],0)</f>
        <v>41060</v>
      </c>
      <c r="K32" s="3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2" s="31">
        <f>[QTDE]*[PREÇO]</f>
        <v>184</v>
      </c>
      <c r="M32" s="31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-120</v>
      </c>
      <c r="N32" s="31">
        <f>TRUNC(SUMPRODUCT(N([DATA]=NC[[#This Row],[DATA]]),N([ID]&lt;=NC[[#This Row],[ID]]),N(['[D/N']]="N"),[VALOR DAS OPERAÇÕES]*SETUP!$B$7)  +  SUMPRODUCT(N([DATA]=NC[[#This Row],[DATA]]),N([ID]&lt;=NC[[#This Row],[ID]]),N(['[D/N']]="D"),[VALOR DAS OPERAÇÕES]*SETUP!$E$7),    2)</f>
        <v>0.06</v>
      </c>
      <c r="O32" s="31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P32" s="31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Q32" s="31">
        <f>SETUP!$E$3*SUMPRODUCT(N([DATA]=NC[[#This Row],[DATA]]),N([ID]&lt;=NC[[#This Row],[ID]]))</f>
        <v>29.8</v>
      </c>
      <c r="R32" s="31">
        <f>TRUNC([CORRETAGEM]*SETUP!$F$3,2)</f>
        <v>0.59</v>
      </c>
      <c r="S32" s="31">
        <f>ROUND([CORRETAGEM]*SETUP!$G$3,2)</f>
        <v>1.1599999999999999</v>
      </c>
      <c r="T32" s="31">
        <f>[VALOR LÍQUIDO DAS OPERAÇÕES]-[TAXA DE LIQUIDAÇÃO]-[EMOLUMENTOS]-[TAXA DE REGISTRO]-[CORRETAGEM]-[ISS]-IF(['[D/N']]="D",    0,    [OUTRAS BOVESPA])</f>
        <v>-151.87</v>
      </c>
      <c r="U32" s="31">
        <f>IF(AND(['[D/N']]="D",    [T]="CV"),    ROUND([LÍQUIDO BASE]*0.01, 2),    0)</f>
        <v>0</v>
      </c>
      <c r="V32" s="15">
        <f>IF([PREÇO] &gt; 0,    [LÍQUIDO BASE]-SUMPRODUCT(N([DATA]=NC[[#This Row],[DATA]]),    [IRRF FONTE]),    0)</f>
        <v>-151.87</v>
      </c>
      <c r="W32" s="38">
        <f>[LÍQUIDO]-SUMPRODUCT(N([DATA]=NC[[#This Row],[DATA]]),N([ID]=(NC[[#This Row],[ID]]-1)),[LÍQUIDO])</f>
        <v>-200.03</v>
      </c>
      <c r="X32" s="31">
        <f t="shared" si="0"/>
        <v>2.0003000000000002</v>
      </c>
      <c r="Y32" s="31">
        <f>TRUNC(IF(OR([T]="CV",[T]="VV"),     L32*SETUP!$H$3,     0),2)</f>
        <v>0</v>
      </c>
      <c r="Z32" s="3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2" s="39">
        <f>IF(['[D/N']]="D",      IF(OR([T]="CC",[T]="CV"),     ABS(SUMPRODUCT(N([ATIVO]=NC[[#This Row],[ATIVO]]),N([T]="CC"),N(['[D/N']]="D"),N([ID]&lt;=NC[[#This Row],[ID]]),N([PAR]=NC[[#This Row],[PAR]]),[VALOR P/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P/ OP])) - ABS(SUMPRODUCT(N([ATIVO]=NC[[#This Row],[ATIVO]]),N([T]="CV"),N(['[D/N']]="N"),N([ID]&lt;NC[[#This Row],[ID]]),N([PAR]=NC[[#This Row],[PAR]]),[VALOR P/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2.0003000000000002</v>
      </c>
      <c r="AB32" s="39">
        <f>IF(NC[[#This Row],[PREÇO]] &gt; 0,    IF(['[D/N']]="D",     IF(OR([T]="VV",[T]="VC"),     ABS(SUMPRODUCT(N([ATIVO]=NC[[#This Row],[ATIVO]]),N([T]="VV"),N(['[D/N']]="D"),N([ID]&lt;=NC[[#This Row],[ID]]),N([PAR]=NC[[#This Row],[PAR]]),[VALOR P/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P/ OP]))  /  SUMPRODUCT(N([ATIVO]=NC[[#This Row],[ATIVO]]),N([T]="VV"),N(['[D/N']]="N"),N([ID]&lt;=NC[[#This Row],[ID]]),N([PAR]=NC[[#This Row],[PAR]]),[QTDE]),     IF([T]="CV",[MEDIO P/ OP],0))),    0)</f>
        <v>1.7697000000000001</v>
      </c>
      <c r="AC32" s="39">
        <f xml:space="preserve">  IF([PREÇO] &gt; 0,  IF(AND([MED CP] &gt; 0, [MED VD] &gt; 0), ([MED VD] - [MED CP]) * [QTDE], 0),    IF(AND([MED CP] &gt; 0, [MED VD] = 0), ([MED VD] - [MED CP]) * [QTDE], 0)) + [IRRF FONTE]</f>
        <v>-23.060000000000013</v>
      </c>
      <c r="AD32" s="31">
        <f>IF([LUCRO TMP] &lt;&gt; 0, [LUCRO TMP] - SUMPRODUCT(N([ATIVO]=NC[[#This Row],[ATIVO]]),N(['[D/N']]="N"),N([ID]&lt;NC[[#This Row],[ID]]),N([PAR]=NC[[#This Row],[PAR]]), [LUCRO TMP]), 0)</f>
        <v>-23.060000000000013</v>
      </c>
      <c r="AE32" s="31">
        <f>IF([U] = "U", SUMPRODUCT(N([ID]&lt;=NC[[#This Row],[ID]]),N([DATA BASE]=NC[[#This Row],[DATA BASE]]), N(['[D/N']] = "N"),    [LUCRO P/ OP]), 0)</f>
        <v>0</v>
      </c>
      <c r="AF32" s="15">
        <f>IF([U] = "U",[LUCRO '[N']] + SUMPRODUCT(N(MONTH([DATA BASE])=MONTH(NC[[#This Row],[DATA BASE]]) - 1), [LUCRO '[N']]),0)</f>
        <v>0</v>
      </c>
      <c r="AG32" s="31">
        <f>IF([U] = "U", SUMPRODUCT(N([DATA BASE]=NC[[#This Row],[DATA BASE]]), N(['[D/N']] = "D"),    [LUCRO P/ OP]), 0)</f>
        <v>0</v>
      </c>
      <c r="AH32" s="38">
        <f>IF([ TRIB. '[N']] &gt; 0,     ROUND([ TRIB. '[N']]*0.15,    2),    0)</f>
        <v>0</v>
      </c>
      <c r="AI32" s="38">
        <f>IF([LUCRO TRIB. DT] &gt; 0,     ROUND([LUCRO TRIB. DT]*0.2,    2)  -  SUMPRODUCT(N([DATA BASE]=NC[[#This Row],[DATA BASE]]),    [IRRF FONTE]),    0)</f>
        <v>0</v>
      </c>
      <c r="AJ32" s="40">
        <f>[IR '[N']] + [IR DEVIDO DT]</f>
        <v>0</v>
      </c>
      <c r="AK32" s="38">
        <f>IF(AND([U] = "U",[IR DEVIDO] &gt; 0), [IR DEVIDO] + 8.9, 0)</f>
        <v>0</v>
      </c>
      <c r="AL32" s="38">
        <f>[LUCRO '[N']]  + [LUCRO TRIB. DT] - [RESGATE]</f>
        <v>0</v>
      </c>
    </row>
    <row r="33" spans="1:38">
      <c r="A33" s="30">
        <f>SUBTOTAL(104,[ID])</f>
        <v>31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1"/>
      <c r="U33" s="30"/>
      <c r="V33" s="31"/>
      <c r="W33" s="31"/>
      <c r="X33" s="30"/>
      <c r="Y33" s="31">
        <f>SUBTOTAL(109,[IRRF])</f>
        <v>0.12</v>
      </c>
      <c r="Z33" s="31"/>
      <c r="AA33" s="30"/>
      <c r="AB33" s="30"/>
      <c r="AC33" s="40"/>
      <c r="AD33" s="31">
        <f>SUBTOTAL(109,[LUCRO P/ OP])</f>
        <v>-1202.1400000000001</v>
      </c>
      <c r="AE33" s="31"/>
      <c r="AF33" s="31"/>
      <c r="AG33" s="32"/>
      <c r="AH33" s="31"/>
      <c r="AI33" s="31"/>
      <c r="AJ33" s="33"/>
      <c r="AK33" s="33"/>
      <c r="AL33" s="34">
        <f>SUBTOTAL(109,[LUCRO LÍQUIDO])</f>
        <v>-1236.2</v>
      </c>
    </row>
    <row r="34" spans="1:38">
      <c r="AD34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/>
  <dimension ref="A1:N3"/>
  <sheetViews>
    <sheetView workbookViewId="0">
      <selection activeCell="D12" sqref="D12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bestFit="1" customWidth="1"/>
    <col min="7" max="7" width="7.7109375" style="7" bestFit="1" customWidth="1"/>
    <col min="8" max="8" width="13.140625" style="7" bestFit="1" customWidth="1"/>
    <col min="9" max="9" width="11.5703125" style="7" bestFit="1" customWidth="1"/>
    <col min="10" max="10" width="12.5703125" style="7" bestFit="1" customWidth="1"/>
    <col min="11" max="11" width="11.42578125" style="7" bestFit="1" customWidth="1"/>
    <col min="12" max="12" width="11" style="7" bestFit="1" customWidth="1"/>
    <col min="13" max="13" width="9.85546875" style="7" bestFit="1" customWidth="1"/>
    <col min="14" max="14" width="10.85546875" style="7" bestFit="1" customWidth="1"/>
    <col min="15" max="16384" width="11.5703125" style="7"/>
  </cols>
  <sheetData>
    <row r="1" spans="1:14">
      <c r="A1" s="24" t="s">
        <v>62</v>
      </c>
      <c r="B1" s="24" t="s">
        <v>72</v>
      </c>
      <c r="C1" s="26" t="s">
        <v>63</v>
      </c>
      <c r="D1" s="26" t="s">
        <v>64</v>
      </c>
      <c r="E1" s="26" t="s">
        <v>65</v>
      </c>
      <c r="F1" s="26" t="s">
        <v>75</v>
      </c>
      <c r="G1" s="26" t="s">
        <v>1</v>
      </c>
      <c r="H1" s="26" t="s">
        <v>67</v>
      </c>
      <c r="I1" s="26" t="s">
        <v>68</v>
      </c>
      <c r="J1" s="26" t="s">
        <v>73</v>
      </c>
      <c r="K1" s="26" t="s">
        <v>69</v>
      </c>
      <c r="L1" s="26" t="s">
        <v>71</v>
      </c>
      <c r="M1" s="26" t="s">
        <v>70</v>
      </c>
      <c r="N1" s="26" t="s">
        <v>74</v>
      </c>
    </row>
    <row r="2" spans="1:14">
      <c r="A2" s="7" t="s">
        <v>66</v>
      </c>
      <c r="B2" s="25">
        <v>100</v>
      </c>
      <c r="C2" s="25">
        <v>21.88</v>
      </c>
      <c r="D2" s="25">
        <v>0.32</v>
      </c>
      <c r="E2" s="25">
        <v>21.09</v>
      </c>
      <c r="F2" s="28">
        <f>ROUNDDOWN([APLICAÇÃO]/[PREÇO OPÇÃO], 0)</f>
        <v>312</v>
      </c>
      <c r="G2" s="28">
        <f>[QTDE TMP] - MOD([QTDE TMP], 100)</f>
        <v>300</v>
      </c>
      <c r="H2" s="25">
        <f>[EXERCÍCIO] + ([PREÇO OPÇÃO] * 2)</f>
        <v>22.52</v>
      </c>
      <c r="I2" s="27">
        <f>[TARGET 100%] / [PREÇO AÇÃO] - 1</f>
        <v>6.7804646752015252E-2</v>
      </c>
      <c r="J2" s="25">
        <f>[PREÇO OPÇÃO] * [QTDE] * 0.85</f>
        <v>81.599999999999994</v>
      </c>
      <c r="K2" s="25">
        <f>[PREÇO AÇÃO] * 105%</f>
        <v>22.144500000000001</v>
      </c>
      <c r="L2" s="25">
        <f>([TARGET 5%] - [EXERCÍCIO])</f>
        <v>0.26450000000000173</v>
      </c>
      <c r="M2" s="27">
        <f>[VALOR 5%] / [PREÇO OPÇÃO] - 1</f>
        <v>-0.17343749999999458</v>
      </c>
      <c r="N2" s="25">
        <f>([VALOR 5%] - [PREÇO OPÇÃO]) * [QTDE] * 0.85</f>
        <v>-14.152499999999561</v>
      </c>
    </row>
    <row r="3" spans="1:14">
      <c r="A3" s="7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>
        <f>SUBTOTAL(103,[LUCRO 5%])</f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activeCell="B7" sqref="B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43" t="s">
        <v>7</v>
      </c>
      <c r="B1" s="43"/>
      <c r="C1" s="43" t="s">
        <v>8</v>
      </c>
      <c r="D1" s="43"/>
      <c r="E1" s="42" t="s">
        <v>9</v>
      </c>
      <c r="F1" s="42" t="s">
        <v>4</v>
      </c>
      <c r="G1" s="42" t="s">
        <v>10</v>
      </c>
      <c r="H1" s="42" t="s">
        <v>11</v>
      </c>
      <c r="I1" s="42" t="s">
        <v>24</v>
      </c>
    </row>
    <row r="2" spans="1:9">
      <c r="A2" s="3" t="s">
        <v>12</v>
      </c>
      <c r="B2" s="3" t="s">
        <v>13</v>
      </c>
      <c r="C2" s="3" t="s">
        <v>12</v>
      </c>
      <c r="D2" s="3" t="s">
        <v>13</v>
      </c>
      <c r="E2" s="42"/>
      <c r="F2" s="42"/>
      <c r="G2" s="42"/>
      <c r="H2" s="42"/>
      <c r="I2" s="42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>
      <c r="A4" s="41" t="s">
        <v>27</v>
      </c>
      <c r="B4" s="41"/>
      <c r="C4" s="41"/>
      <c r="D4" s="41"/>
      <c r="E4" s="41"/>
      <c r="F4" s="41"/>
    </row>
    <row r="5" spans="1:9">
      <c r="A5" s="41" t="s">
        <v>7</v>
      </c>
      <c r="B5" s="41"/>
      <c r="C5" s="41"/>
      <c r="D5" s="41" t="s">
        <v>8</v>
      </c>
      <c r="E5" s="41"/>
      <c r="F5" s="41"/>
    </row>
    <row r="6" spans="1:9">
      <c r="A6" s="18" t="s">
        <v>12</v>
      </c>
      <c r="B6" s="18" t="s">
        <v>13</v>
      </c>
      <c r="C6" s="18" t="s">
        <v>28</v>
      </c>
      <c r="D6" s="18" t="s">
        <v>12</v>
      </c>
      <c r="E6" s="18" t="s">
        <v>13</v>
      </c>
      <c r="F6" s="18" t="s">
        <v>28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TENDENCIA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2012-04-27T17:51:51Z</dcterms:modified>
</cp:coreProperties>
</file>