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/>
  </bookViews>
  <sheets>
    <sheet name="VOLATILIDADE" sheetId="1" r:id="rId1"/>
    <sheet name="TRAVA" sheetId="3" r:id="rId2"/>
    <sheet name="TENDENCIA" sheetId="4" r:id="rId3"/>
    <sheet name="RESUMO DE PROTEÇÃO" sheetId="5" r:id="rId4"/>
    <sheet name="DIVISAO PATRIMONIO" sheetId="6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W2" i="4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X5" i="3"/>
  <c r="X2"/>
  <c r="X3"/>
  <c r="X4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A4" i="6"/>
  <c r="A5"/>
  <c r="A2"/>
  <c r="A3"/>
  <c r="A31" i="5"/>
  <c r="D31"/>
  <c r="G31" i="4"/>
  <c r="M31"/>
  <c r="N31"/>
  <c r="S31"/>
  <c r="T31"/>
  <c r="X31"/>
  <c r="F31" i="3"/>
  <c r="G31"/>
  <c r="L31"/>
  <c r="M31"/>
  <c r="R31"/>
  <c r="S31"/>
  <c r="V31"/>
  <c r="W31"/>
  <c r="H31" s="1"/>
  <c r="Z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X23"/>
  <c r="X24"/>
  <c r="X25"/>
  <c r="X26"/>
  <c r="X27"/>
  <c r="X28"/>
  <c r="X29"/>
  <c r="X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31" i="1" l="1"/>
  <c r="F31" i="5" s="1"/>
  <c r="H31" i="1"/>
  <c r="I31" i="3"/>
  <c r="J31"/>
  <c r="K31"/>
  <c r="O31"/>
  <c r="P31"/>
  <c r="Q31"/>
  <c r="Y31"/>
  <c r="I31" i="1"/>
  <c r="J31"/>
  <c r="K31"/>
  <c r="O31"/>
  <c r="P31"/>
  <c r="Q31"/>
  <c r="Y31"/>
  <c r="G31" i="5" s="1"/>
  <c r="Z2" i="3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31" i="1" l="1"/>
  <c r="T31" i="3"/>
  <c r="N31"/>
  <c r="T31" i="1"/>
  <c r="N31"/>
  <c r="U31" i="3" l="1"/>
  <c r="U31" i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X17"/>
  <c r="X18"/>
  <c r="X19"/>
  <c r="X20"/>
  <c r="X21"/>
  <c r="X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X11"/>
  <c r="X12"/>
  <c r="X13"/>
  <c r="X14"/>
  <c r="X15"/>
  <c r="X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A7"/>
  <c r="D7"/>
  <c r="A8"/>
  <c r="D8"/>
  <c r="A9"/>
  <c r="D9"/>
  <c r="A10"/>
  <c r="D10"/>
  <c r="G10" i="4"/>
  <c r="M10"/>
  <c r="N10"/>
  <c r="S10"/>
  <c r="T10"/>
  <c r="X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B5" i="5"/>
  <c r="X5" i="4"/>
  <c r="X6"/>
  <c r="X7"/>
  <c r="X8"/>
  <c r="X9"/>
  <c r="A5" i="5"/>
  <c r="D5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H31" i="5" l="1"/>
  <c r="I31"/>
  <c r="J31" s="1"/>
  <c r="D4"/>
  <c r="G4" i="4"/>
  <c r="M4"/>
  <c r="N4"/>
  <c r="S4"/>
  <c r="T4"/>
  <c r="X4"/>
  <c r="A4" i="5"/>
  <c r="D3"/>
  <c r="D2"/>
  <c r="G4" i="3"/>
  <c r="L4"/>
  <c r="M4"/>
  <c r="R4"/>
  <c r="S4"/>
  <c r="W4"/>
  <c r="A3" i="5"/>
  <c r="A2"/>
  <c r="G23" i="3" l="1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M3" i="4" l="1"/>
  <c r="N3"/>
  <c r="S3"/>
  <c r="T3"/>
  <c r="G2"/>
  <c r="H31" s="1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X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T2" i="4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X2" i="4"/>
  <c r="W2" i="3"/>
  <c r="W3"/>
  <c r="I16" i="4" l="1"/>
  <c r="I31"/>
  <c r="I23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Z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Z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K2" i="4"/>
  <c r="R2"/>
  <c r="J2"/>
  <c r="Q2"/>
  <c r="P2"/>
  <c r="L2"/>
  <c r="Z2"/>
  <c r="P3" i="3"/>
  <c r="O3"/>
  <c r="K3"/>
  <c r="J3"/>
  <c r="Q3"/>
  <c r="I3"/>
  <c r="L3" i="1"/>
  <c r="M3"/>
  <c r="R3"/>
  <c r="S3"/>
  <c r="J31" i="4" l="1"/>
  <c r="K31"/>
  <c r="L31"/>
  <c r="P31"/>
  <c r="Q31"/>
  <c r="R31"/>
  <c r="Z31"/>
  <c r="J30"/>
  <c r="K30"/>
  <c r="L30"/>
  <c r="P30"/>
  <c r="Q30"/>
  <c r="R30"/>
  <c r="Z30"/>
  <c r="J29"/>
  <c r="K29"/>
  <c r="L29"/>
  <c r="P29"/>
  <c r="Q29"/>
  <c r="R29"/>
  <c r="Z29"/>
  <c r="J28"/>
  <c r="K28"/>
  <c r="L28"/>
  <c r="P28"/>
  <c r="Q28"/>
  <c r="R28"/>
  <c r="Z28"/>
  <c r="J27"/>
  <c r="K27"/>
  <c r="L27"/>
  <c r="P27"/>
  <c r="Q27"/>
  <c r="R27"/>
  <c r="Z27"/>
  <c r="J26"/>
  <c r="K26"/>
  <c r="L26"/>
  <c r="P26"/>
  <c r="Q26"/>
  <c r="R26"/>
  <c r="Z26"/>
  <c r="J25"/>
  <c r="K25"/>
  <c r="L25"/>
  <c r="P25"/>
  <c r="Q25"/>
  <c r="R25"/>
  <c r="Z25"/>
  <c r="J24"/>
  <c r="K24"/>
  <c r="L24"/>
  <c r="P24"/>
  <c r="Q24"/>
  <c r="R24"/>
  <c r="Z24"/>
  <c r="J23"/>
  <c r="K23"/>
  <c r="L23"/>
  <c r="P23"/>
  <c r="Q23"/>
  <c r="R23"/>
  <c r="Z23"/>
  <c r="J22"/>
  <c r="K22"/>
  <c r="L22"/>
  <c r="P22"/>
  <c r="Q22"/>
  <c r="R22"/>
  <c r="Z22"/>
  <c r="J21"/>
  <c r="K21"/>
  <c r="L21"/>
  <c r="P21"/>
  <c r="Q21"/>
  <c r="R21"/>
  <c r="Z21"/>
  <c r="J20"/>
  <c r="K20"/>
  <c r="L20"/>
  <c r="P20"/>
  <c r="Q20"/>
  <c r="R20"/>
  <c r="Z20"/>
  <c r="J19"/>
  <c r="K19"/>
  <c r="L19"/>
  <c r="P19"/>
  <c r="Q19"/>
  <c r="R19"/>
  <c r="Z19"/>
  <c r="J18"/>
  <c r="K18"/>
  <c r="L18"/>
  <c r="P18"/>
  <c r="Q18"/>
  <c r="R18"/>
  <c r="Z18"/>
  <c r="J17"/>
  <c r="K17"/>
  <c r="L17"/>
  <c r="P17"/>
  <c r="Q17"/>
  <c r="R17"/>
  <c r="Z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Z15"/>
  <c r="J14"/>
  <c r="K14"/>
  <c r="L14"/>
  <c r="P14"/>
  <c r="Q14"/>
  <c r="R14"/>
  <c r="Z14"/>
  <c r="J13"/>
  <c r="K13"/>
  <c r="L13"/>
  <c r="P13"/>
  <c r="Q13"/>
  <c r="R13"/>
  <c r="Z13"/>
  <c r="J12"/>
  <c r="K12"/>
  <c r="L12"/>
  <c r="P12"/>
  <c r="Q12"/>
  <c r="R12"/>
  <c r="Z12"/>
  <c r="J11"/>
  <c r="K11"/>
  <c r="L11"/>
  <c r="P11"/>
  <c r="Q11"/>
  <c r="R11"/>
  <c r="Z11"/>
  <c r="U16"/>
  <c r="O16"/>
  <c r="I10" i="3"/>
  <c r="J10"/>
  <c r="K10"/>
  <c r="O10"/>
  <c r="P10"/>
  <c r="Q10"/>
  <c r="J10" i="4"/>
  <c r="K10"/>
  <c r="L10"/>
  <c r="P10"/>
  <c r="Q10"/>
  <c r="R10"/>
  <c r="Z10"/>
  <c r="J9"/>
  <c r="K9"/>
  <c r="L9"/>
  <c r="P9"/>
  <c r="Q9"/>
  <c r="R9"/>
  <c r="Z9"/>
  <c r="J8"/>
  <c r="K8"/>
  <c r="L8"/>
  <c r="P8"/>
  <c r="Q8"/>
  <c r="R8"/>
  <c r="Z8"/>
  <c r="J7"/>
  <c r="K7"/>
  <c r="L7"/>
  <c r="P7"/>
  <c r="Q7"/>
  <c r="R7"/>
  <c r="Z7"/>
  <c r="J6"/>
  <c r="K6"/>
  <c r="L6"/>
  <c r="P6"/>
  <c r="Q6"/>
  <c r="R6"/>
  <c r="Z6"/>
  <c r="J5"/>
  <c r="K5"/>
  <c r="L5"/>
  <c r="P5"/>
  <c r="Q5"/>
  <c r="R5"/>
  <c r="Z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Q3"/>
  <c r="L3"/>
  <c r="P3"/>
  <c r="J3"/>
  <c r="O3" s="1"/>
  <c r="R3"/>
  <c r="Z3"/>
  <c r="O2"/>
  <c r="P2" i="3"/>
  <c r="Q2"/>
  <c r="J2"/>
  <c r="K2"/>
  <c r="O2"/>
  <c r="I2"/>
  <c r="U2" i="4"/>
  <c r="N3" i="3"/>
  <c r="T3"/>
  <c r="G3" i="1"/>
  <c r="S2"/>
  <c r="R2"/>
  <c r="M2"/>
  <c r="L2"/>
  <c r="U31" i="4" l="1"/>
  <c r="O31"/>
  <c r="U23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1" i="4" l="1"/>
  <c r="V30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E5"/>
  <c r="B5" i="6" s="1"/>
  <c r="B9" i="5"/>
  <c r="E9" s="1"/>
  <c r="B8"/>
  <c r="E8" s="1"/>
  <c r="B7"/>
  <c r="E7" s="1"/>
  <c r="B10"/>
  <c r="E10" s="1"/>
  <c r="B4"/>
  <c r="E4"/>
  <c r="B4" i="6" s="1"/>
  <c r="B3" i="5"/>
  <c r="E3"/>
  <c r="B3" i="6" s="1"/>
  <c r="B2" i="5"/>
  <c r="E2" s="1"/>
  <c r="B2" i="6" s="1"/>
  <c r="B6" i="5"/>
  <c r="E6"/>
  <c r="X2" i="1"/>
  <c r="F2" i="5" s="1"/>
  <c r="X23" i="1"/>
  <c r="F23" i="5" s="1"/>
  <c r="X24" i="1"/>
  <c r="F24" i="5" s="1"/>
  <c r="X25" i="1"/>
  <c r="F25" i="5" s="1"/>
  <c r="X26" i="1"/>
  <c r="F26" i="5" s="1"/>
  <c r="X27" i="1"/>
  <c r="F27" i="5" s="1"/>
  <c r="X28" i="1"/>
  <c r="F28" i="5" s="1"/>
  <c r="X29" i="1"/>
  <c r="F29" i="5" s="1"/>
  <c r="X30" i="1"/>
  <c r="F30" i="5" s="1"/>
  <c r="X22" i="1"/>
  <c r="F22" i="5" s="1"/>
  <c r="X21" i="1"/>
  <c r="F21" i="5" s="1"/>
  <c r="X20" i="1"/>
  <c r="F20" i="5" s="1"/>
  <c r="X19" i="1"/>
  <c r="F19" i="5" s="1"/>
  <c r="X18" i="1"/>
  <c r="F18" i="5" s="1"/>
  <c r="X17" i="1"/>
  <c r="F17" i="5" s="1"/>
  <c r="X16" i="1"/>
  <c r="F16" i="5" s="1"/>
  <c r="X15" i="1"/>
  <c r="F15" i="5" s="1"/>
  <c r="X14" i="1"/>
  <c r="F14" i="5" s="1"/>
  <c r="X13" i="1"/>
  <c r="F13" i="5" s="1"/>
  <c r="X12" i="1"/>
  <c r="F12" i="5" s="1"/>
  <c r="X11" i="1"/>
  <c r="F11" i="5" s="1"/>
  <c r="X5" i="1"/>
  <c r="F5" i="5" s="1"/>
  <c r="X10" i="1"/>
  <c r="F10" i="5" s="1"/>
  <c r="X9" i="1"/>
  <c r="F9" i="5" s="1"/>
  <c r="X6" i="1"/>
  <c r="F6" i="5" s="1"/>
  <c r="X3" i="1"/>
  <c r="F3" i="5" s="1"/>
  <c r="X7" i="1"/>
  <c r="F7" i="5" s="1"/>
  <c r="X8" i="1"/>
  <c r="F8" i="5" s="1"/>
  <c r="X4" i="1"/>
  <c r="F4" i="5" s="1"/>
  <c r="F2" i="6" l="1"/>
  <c r="E2"/>
  <c r="D2"/>
  <c r="C2"/>
  <c r="F3"/>
  <c r="E3"/>
  <c r="D3"/>
  <c r="C3"/>
  <c r="C4"/>
  <c r="D4"/>
  <c r="E4"/>
  <c r="F4"/>
  <c r="Z4" i="1"/>
  <c r="Z8"/>
  <c r="Z7"/>
  <c r="Z3"/>
  <c r="Z6"/>
  <c r="Z9"/>
  <c r="Z10"/>
  <c r="Z5"/>
  <c r="Z11"/>
  <c r="Z12"/>
  <c r="Z13"/>
  <c r="Z14"/>
  <c r="Z15"/>
  <c r="Z16"/>
  <c r="Z17"/>
  <c r="Z18"/>
  <c r="Z19"/>
  <c r="Z20"/>
  <c r="Z21"/>
  <c r="Z22"/>
  <c r="Z30"/>
  <c r="Z29"/>
  <c r="Z28"/>
  <c r="Z27"/>
  <c r="Z26"/>
  <c r="Z25"/>
  <c r="Z24"/>
  <c r="Z23"/>
  <c r="Z2"/>
  <c r="C5" i="6"/>
  <c r="C6" s="1"/>
  <c r="D5"/>
  <c r="D6" s="1"/>
  <c r="E5"/>
  <c r="E6" s="1"/>
  <c r="F5"/>
  <c r="F6" s="1"/>
  <c r="B6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H2" i="5" l="1"/>
  <c r="I2"/>
  <c r="J2" s="1"/>
  <c r="H23"/>
  <c r="I23"/>
  <c r="J23" s="1"/>
  <c r="H24"/>
  <c r="I24"/>
  <c r="J24" s="1"/>
  <c r="H25"/>
  <c r="I25"/>
  <c r="J25" s="1"/>
  <c r="H26"/>
  <c r="I26"/>
  <c r="J26" s="1"/>
  <c r="H27"/>
  <c r="I27"/>
  <c r="J27" s="1"/>
  <c r="H28"/>
  <c r="I28"/>
  <c r="J28" s="1"/>
  <c r="H29"/>
  <c r="I29"/>
  <c r="J29" s="1"/>
  <c r="H30"/>
  <c r="I30"/>
  <c r="J30" s="1"/>
  <c r="H22"/>
  <c r="I22"/>
  <c r="J22" s="1"/>
  <c r="H21"/>
  <c r="I21"/>
  <c r="J21" s="1"/>
  <c r="H20"/>
  <c r="I20"/>
  <c r="J20" s="1"/>
  <c r="H19"/>
  <c r="I19"/>
  <c r="J19" s="1"/>
  <c r="H18"/>
  <c r="I18"/>
  <c r="J18" s="1"/>
  <c r="H17"/>
  <c r="I17"/>
  <c r="J17" s="1"/>
  <c r="H16"/>
  <c r="I16"/>
  <c r="J16" s="1"/>
  <c r="H15"/>
  <c r="I15"/>
  <c r="J15" s="1"/>
  <c r="H14"/>
  <c r="I14"/>
  <c r="J14" s="1"/>
  <c r="H13"/>
  <c r="I13"/>
  <c r="J13" s="1"/>
  <c r="H12"/>
  <c r="I12"/>
  <c r="J12" s="1"/>
  <c r="H11"/>
  <c r="I11"/>
  <c r="J11" s="1"/>
  <c r="H5"/>
  <c r="H10"/>
  <c r="I10"/>
  <c r="J10" s="1"/>
  <c r="H9"/>
  <c r="I9"/>
  <c r="J9" s="1"/>
  <c r="H6"/>
  <c r="H3"/>
  <c r="I3"/>
  <c r="J3" s="1"/>
  <c r="H7"/>
  <c r="I7"/>
  <c r="J7" s="1"/>
  <c r="H8"/>
  <c r="I8"/>
  <c r="J8" s="1"/>
  <c r="H4"/>
  <c r="I4"/>
  <c r="J4" s="1"/>
  <c r="J2" i="1"/>
  <c r="Q2"/>
  <c r="P2"/>
  <c r="K2"/>
  <c r="O2"/>
  <c r="T2" s="1"/>
  <c r="Y6"/>
  <c r="G6" i="5" s="1"/>
  <c r="I6" s="1"/>
  <c r="J6" s="1"/>
  <c r="Q6" i="1"/>
  <c r="J6"/>
  <c r="P6"/>
  <c r="K6"/>
  <c r="I6"/>
  <c r="N6" s="1"/>
  <c r="O6"/>
  <c r="T6" s="1"/>
  <c r="U6" s="1"/>
  <c r="Y5"/>
  <c r="G5" i="5" s="1"/>
  <c r="I5" s="1"/>
  <c r="J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<sst xmlns="http://schemas.openxmlformats.org/spreadsheetml/2006/main" count="109" uniqueCount="49">
  <si>
    <t>APORTE</t>
  </si>
  <si>
    <t>LUCRO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</si>
  <si>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</si>
  <si>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</si>
  <si>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</si>
  <si>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</si>
  <si>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</si>
  <si>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</si>
  <si>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</si>
  <si>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</si>
  <si>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</si>
  <si>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</si>
  <si>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</si>
  <si>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</si>
  <si>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</si>
  <si>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</si>
  <si>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</si>
  <si>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</si>
  <si>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</si>
  <si>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</si>
  <si>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</si>
  <si>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</si>
  <si>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</si>
  <si>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</si>
  <si>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</si>
  <si>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</si>
  <si>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</si>
  <si>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</si>
  <si>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</si>
  <si>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</si>
  <si>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</si>
  <si>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</si>
  <si>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</si>
  <si>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</si>
  <si>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</si>
  <si>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</si>
  <si>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</si>
  <si>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</si>
  <si>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</si>
  <si>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</si>
  <si>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</si>
  <si>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</si>
  <si>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</si>
  <si>
    <t>TESOURO DIRETO</t>
  </si>
  <si>
    <t>FUNDO AÇÕES</t>
  </si>
  <si>
    <t>FUNDOS MM</t>
  </si>
  <si>
    <t>FUNDOS RF E REFER.</t>
  </si>
  <si>
    <t>RENTABILIDADE</t>
  </si>
  <si>
    <t>RF x PATRIMONIO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</si>
</sst>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0" fontId="8" fillId="0" borderId="0" xfId="0" applyFont="1"/>
    <xf numFmtId="164" fontId="3" fillId="0" borderId="0" xfId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0" fontId="2" fillId="0" borderId="0" xfId="2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0" fontId="10" fillId="0" borderId="0" xfId="2" applyNumberFormat="1" applyFont="1"/>
    <xf numFmtId="10" fontId="9" fillId="0" borderId="0" xfId="2" applyNumberFormat="1" applyFont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164" fontId="11" fillId="0" borderId="0" xfId="1" applyFont="1" applyBorder="1"/>
    <xf numFmtId="164" fontId="11" fillId="0" borderId="0" xfId="1" applyNumberFormat="1" applyFont="1" applyBorder="1"/>
    <xf numFmtId="10" fontId="11" fillId="0" borderId="0" xfId="2" applyNumberFormat="1" applyFont="1" applyBorder="1"/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164" fontId="12" fillId="0" borderId="0" xfId="1" applyFont="1"/>
    <xf numFmtId="164" fontId="12" fillId="0" borderId="0" xfId="1" applyNumberFormat="1" applyFont="1"/>
    <xf numFmtId="164" fontId="12" fillId="0" borderId="0" xfId="1" applyNumberFormat="1" applyFont="1" applyBorder="1"/>
    <xf numFmtId="0" fontId="11" fillId="0" borderId="0" xfId="0" applyFont="1"/>
    <xf numFmtId="0" fontId="11" fillId="0" borderId="0" xfId="0" applyNumberFormat="1" applyFont="1"/>
    <xf numFmtId="164" fontId="11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Z32" totalsRowCount="1" headerRowDxfId="172">
  <autoFilter ref="A1:Z31">
    <filterColumn colId="25"/>
  </autoFilter>
  <tableColumns count="26">
    <tableColumn id="1" name="TRADE" totalsRowLabel="Total" dataDxfId="171" totalsRowDxfId="25"/>
    <tableColumn id="2" name="DATA" dataDxfId="170" totalsRowDxfId="24"/>
    <tableColumn id="26" name="APORTE RF" dataDxfId="169" totalsRowDxfId="23" dataCellStyle="Moeda"/>
    <tableColumn id="9" name="SAQUE" dataDxfId="168" totalsRowDxfId="22" dataCellStyle="Moeda"/>
    <tableColumn id="5" name="LUCRO" dataDxfId="167" totalsRowDxfId="21" dataCellStyle="Moeda"/>
    <tableColumn id="3" name="APORTE" totalsRowFunction="sum" dataDxfId="166" totalsRowDxfId="20" dataCellStyle="Moeda">
      <calculatedColumnFormula>380</calculatedColumnFormula>
    </tableColumn>
    <tableColumn id="4" name="MONTANTE" dataDxfId="165" totalsRowDxfId="19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4" totalsRowDxfId="18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3" totalsRowDxfId="17" dataCellStyle="Moeda">
      <calculatedColumnFormula>TRUNC([APLICAÇÃO]  * SETUP!$A$3, 2)</calculatedColumnFormula>
    </tableColumn>
    <tableColumn id="13" name="LIQD CP" dataDxfId="162" totalsRowDxfId="16" dataCellStyle="Moeda">
      <calculatedColumnFormula>TRUNC([APLICAÇÃO]  * SETUP!$B$3, 2)</calculatedColumnFormula>
    </tableColumn>
    <tableColumn id="14" name="REG CP" dataDxfId="161" totalsRowDxfId="15" dataCellStyle="Moeda">
      <calculatedColumnFormula>TRUNC([APLICAÇÃO]  * SETUP!$C$3, 2)</calculatedColumnFormula>
    </tableColumn>
    <tableColumn id="16" name="ISS CP" dataDxfId="160" totalsRowDxfId="14" dataCellStyle="Moeda">
      <calculatedColumnFormula>TRUNC(SETUP!$G$3  * SETUP!$H$3, 2)</calculatedColumnFormula>
    </tableColumn>
    <tableColumn id="19" name="OUTRAS CP" dataDxfId="159" totalsRowDxfId="13" dataCellStyle="Moeda">
      <calculatedColumnFormula>ROUND(SETUP!$G$3 * SETUP!$I$3, 2)</calculatedColumnFormula>
    </tableColumn>
    <tableColumn id="18" name="TAXA CP" dataDxfId="158" totalsRowDxfId="12" dataCellStyle="Moeda">
      <calculatedColumnFormula>SETUP!$G$3 + SUM(Tabela1[[#This Row],[EMOL CP]]:Tabela1[[#This Row],[OUTRAS CP]])</calculatedColumnFormula>
    </tableColumn>
    <tableColumn id="25" name="EMOL VD" dataDxfId="157" totalsRowDxfId="11" dataCellStyle="Moeda">
      <calculatedColumnFormula>TRUNC([APLICAÇÃO] * 2  * SETUP!$A$3, 2)</calculatedColumnFormula>
    </tableColumn>
    <tableColumn id="24" name="LIQD VD" dataDxfId="156" totalsRowDxfId="10" dataCellStyle="Moeda">
      <calculatedColumnFormula>TRUNC([APLICAÇÃO] * 2  * SETUP!$B$3, 2)</calculatedColumnFormula>
    </tableColumn>
    <tableColumn id="23" name="REG VD" dataDxfId="155" totalsRowDxfId="9" dataCellStyle="Moeda">
      <calculatedColumnFormula>TRUNC([APLICAÇÃO] * 2  * SETUP!$C$3, 2)</calculatedColumnFormula>
    </tableColumn>
    <tableColumn id="22" name="ISS VD" dataDxfId="154" totalsRowDxfId="8" dataCellStyle="Moeda">
      <calculatedColumnFormula>TRUNC(SETUP!$G$3  * SETUP!$H$3, 2)</calculatedColumnFormula>
    </tableColumn>
    <tableColumn id="21" name="OUTRAS VD" dataDxfId="153" totalsRowDxfId="7" dataCellStyle="Moeda">
      <calculatedColumnFormula>ROUND(SETUP!$G$3 * SETUP!$I$3, 2)</calculatedColumnFormula>
    </tableColumn>
    <tableColumn id="20" name="TAXA VD" dataDxfId="152" totalsRowDxfId="6" dataCellStyle="Moeda">
      <calculatedColumnFormula>SETUP!$G$3 + SUM(Tabela1[[#This Row],[EMOL VD]]:Tabela1[[#This Row],[OUTRAS VD]])</calculatedColumnFormula>
    </tableColumn>
    <tableColumn id="17" name="PREV LUCRO" dataDxfId="151" totalsRowDxfId="5" dataCellStyle="Moeda">
      <calculatedColumnFormula>((([APLICAÇÃO] * 2) - [TAXA VD]) - ([APLICAÇÃO] + [TAXA CP])) * 0.85</calculatedColumnFormula>
    </tableColumn>
    <tableColumn id="7" name="PROTEÇÃO MÊS" dataDxfId="150" totalsRowDxfId="4" dataCellStyle="Moeda">
      <calculatedColumnFormula>IF([LUCRO] &lt; 0, 0, ROUND([LUCRO]*80%, 2))</calculatedColumnFormula>
    </tableColumn>
    <tableColumn id="8" name="REINVESTIR" dataDxfId="149" totalsRowDxfId="3" dataCellStyle="Moeda">
      <calculatedColumnFormula>[LUCRO]-[PROTEÇÃO MÊS]</calculatedColumnFormula>
    </tableColumn>
    <tableColumn id="15" name="TOT RF" dataDxfId="148" totalsRowDxfId="2" dataCellStyle="Moeda">
      <calculatedColumnFormula>SUMPRODUCT(N([TRADE] &lt;= Tabela1[[#This Row],[TRADE]]), [PROTEÇÃO MÊS]) - [APORTE RF]</calculatedColumnFormula>
    </tableColumn>
    <tableColumn id="27" name="PATRIMÔNIO" dataDxfId="147" totalsRowDxfId="1" dataCellStyle="Moeda">
      <calculatedColumnFormula>[TOT RF] + [REINVESTIR] + [APLICAÇÃO]</calculatedColumnFormula>
    </tableColumn>
    <tableColumn id="30" name="%" dataDxfId="146" totalsRowDxfId="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45">
  <autoFilter ref="A1:Z31">
    <filterColumn colId="25"/>
  </autoFilter>
  <tableColumns count="26">
    <tableColumn id="1" name="TRADE" totalsRowLabel="Total" dataDxfId="144" totalsRowDxfId="143"/>
    <tableColumn id="2" name="DATA" dataDxfId="142" totalsRowDxfId="141"/>
    <tableColumn id="26" name="APORTE RF" dataDxfId="140" totalsRowDxfId="139" dataCellStyle="Moeda"/>
    <tableColumn id="9" name="SAQUE" dataDxfId="138" totalsRowDxfId="137" dataCellStyle="Moeda"/>
    <tableColumn id="5" name="LUCRO" dataDxfId="136" totalsRowDxfId="135" dataCellStyle="Moeda"/>
    <tableColumn id="3" name="APORTE" dataDxfId="134" totalsRowDxfId="133" dataCellStyle="Moeda">
      <calculatedColumnFormula>100</calculatedColumnFormula>
    </tableColumn>
    <tableColumn id="4" name="MONTANTE" dataDxfId="132" totalsRowDxfId="13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0" totalsRowDxfId="129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28" totalsRowDxfId="127" dataCellStyle="Moeda">
      <calculatedColumnFormula>TRUNC([APLICAÇÃO]  * SETUP!$A$3, 2)</calculatedColumnFormula>
    </tableColumn>
    <tableColumn id="13" name="LIQD CP" dataDxfId="126" totalsRowDxfId="125" dataCellStyle="Moeda">
      <calculatedColumnFormula>TRUNC([APLICAÇÃO]  * SETUP!$B$3, 2)</calculatedColumnFormula>
    </tableColumn>
    <tableColumn id="14" name="REG CP" dataDxfId="124" totalsRowDxfId="123" dataCellStyle="Moeda">
      <calculatedColumnFormula>TRUNC([APLICAÇÃO]  * SETUP!$C$3, 2)</calculatedColumnFormula>
    </tableColumn>
    <tableColumn id="16" name="ISS CP" dataDxfId="122" totalsRowDxfId="121" dataCellStyle="Moeda">
      <calculatedColumnFormula>TRUNC(SETUP!$G$3  * SETUP!$H$3, 2)</calculatedColumnFormula>
    </tableColumn>
    <tableColumn id="19" name="OUTRAS CP" dataDxfId="120" totalsRowDxfId="119" dataCellStyle="Moeda">
      <calculatedColumnFormula>ROUND(SETUP!$G$3 * SETUP!$I$3, 2)</calculatedColumnFormula>
    </tableColumn>
    <tableColumn id="18" name="TAXA CP" dataDxfId="118" totalsRowDxfId="117" dataCellStyle="Moeda">
      <calculatedColumnFormula>SETUP!$G$3 + SUM(Tabela13[[#This Row],[EMOL CP]]:Tabela13[[#This Row],[OUTRAS CP]])</calculatedColumnFormula>
    </tableColumn>
    <tableColumn id="25" name="EMOL VD" dataDxfId="116" totalsRowDxfId="115" dataCellStyle="Moeda">
      <calculatedColumnFormula>TRUNC([APLICAÇÃO] * 2  * SETUP!$A$3, 2)</calculatedColumnFormula>
    </tableColumn>
    <tableColumn id="24" name="LIQD VD" dataDxfId="114" totalsRowDxfId="113" dataCellStyle="Moeda">
      <calculatedColumnFormula>TRUNC([APLICAÇÃO] * 2  * SETUP!$B$3, 2)</calculatedColumnFormula>
    </tableColumn>
    <tableColumn id="23" name="REG VD" dataDxfId="112" totalsRowDxfId="111" dataCellStyle="Moeda">
      <calculatedColumnFormula>TRUNC([APLICAÇÃO] * 2  * SETUP!$C$3, 2)</calculatedColumnFormula>
    </tableColumn>
    <tableColumn id="22" name="ISS VD" dataDxfId="110" totalsRowDxfId="109" dataCellStyle="Moeda">
      <calculatedColumnFormula>TRUNC(SETUP!$G$3  * SETUP!$H$3, 2)</calculatedColumnFormula>
    </tableColumn>
    <tableColumn id="21" name="OUTRAS VD" dataDxfId="108" totalsRowDxfId="107" dataCellStyle="Moeda">
      <calculatedColumnFormula>ROUND(SETUP!$G$3 * SETUP!$I$3, 2)</calculatedColumnFormula>
    </tableColumn>
    <tableColumn id="20" name="TAXA VD" dataDxfId="106" totalsRowDxfId="105" dataCellStyle="Moeda">
      <calculatedColumnFormula>SETUP!$G$3 + SUM(Tabela13[[#This Row],[EMOL VD]]:Tabela13[[#This Row],[OUTRAS VD]])</calculatedColumnFormula>
    </tableColumn>
    <tableColumn id="17" name="PREV LUCRO" dataDxfId="104" totalsRowDxfId="103" dataCellStyle="Moeda">
      <calculatedColumnFormula>((([APLICAÇÃO] * 2) - [TAXA VD]) - ([APLICAÇÃO] + [TAXA CP])) * 0.85</calculatedColumnFormula>
    </tableColumn>
    <tableColumn id="7" name="PROTEÇÃO MÊS" dataDxfId="102" totalsRowDxfId="101" dataCellStyle="Moeda">
      <calculatedColumnFormula>IF([LUCRO] &lt; 0, 0, ROUND([LUCRO]*80%, 2))</calculatedColumnFormula>
    </tableColumn>
    <tableColumn id="8" name="REINVESTIR" dataDxfId="100" totalsRowDxfId="99" dataCellStyle="Moeda">
      <calculatedColumnFormula>[LUCRO]-[PROTEÇÃO MÊS]</calculatedColumnFormula>
    </tableColumn>
    <tableColumn id="15" name="TOT RF" dataDxfId="98" totalsRowDxfId="97" dataCellStyle="Moeda">
      <calculatedColumnFormula>SUMPRODUCT(N([TRADE] &lt;= Tabela13[[#This Row],[TRADE]]), [PROTEÇÃO MÊS]) - [APORTE RF]</calculatedColumnFormula>
    </tableColumn>
    <tableColumn id="27" name="PATRIMÔNIO" dataDxfId="96" totalsRowDxfId="95" dataCellStyle="Moeda">
      <calculatedColumnFormula>[TOT RF] + [REINVESTIR] + [APLICAÇÃO]</calculatedColumnFormula>
    </tableColumn>
    <tableColumn id="6" name="%" dataDxfId="94" totalsRowDxfId="93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Z32" totalsRowCount="1" headerRowDxfId="92">
  <autoFilter ref="A1:Z31"/>
  <tableColumns count="26">
    <tableColumn id="1" name="TRADE" totalsRowLabel="Total" dataDxfId="91" totalsRowDxfId="52"/>
    <tableColumn id="2" name="DATA" dataDxfId="90" totalsRowDxfId="51"/>
    <tableColumn id="12" name="RENDA FIXA" dataDxfId="89" totalsRowDxfId="50" dataCellStyle="Moeda"/>
    <tableColumn id="26" name="APORTE RF" dataDxfId="88" totalsRowDxfId="49" dataCellStyle="Moeda"/>
    <tableColumn id="9" name="SAQUE" dataDxfId="87" totalsRowDxfId="48" dataCellStyle="Moeda"/>
    <tableColumn id="5" name="LUCRO" dataDxfId="86" totalsRowDxfId="47" dataCellStyle="Moeda"/>
    <tableColumn id="3" name="APORTE" dataDxfId="85" totalsRowDxfId="46" dataCellStyle="Moeda">
      <calculatedColumnFormula>100</calculatedColumnFormula>
    </tableColumn>
    <tableColumn id="4" name="MONTANTE" dataDxfId="84" totalsRowDxfId="45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83" totalsRowDxfId="44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82" totalsRowDxfId="43" dataCellStyle="Moeda">
      <calculatedColumnFormula>TRUNC([APLICAÇÃO]  * SETUP!$A$3, 2)</calculatedColumnFormula>
    </tableColumn>
    <tableColumn id="13" name="LIQD CP" dataDxfId="81" totalsRowDxfId="42" dataCellStyle="Moeda">
      <calculatedColumnFormula>TRUNC([APLICAÇÃO]  * SETUP!$B$3, 2)</calculatedColumnFormula>
    </tableColumn>
    <tableColumn id="14" name="REG CP" dataDxfId="80" totalsRowDxfId="41" dataCellStyle="Moeda">
      <calculatedColumnFormula>TRUNC([APLICAÇÃO]  * SETUP!$C$3, 2)</calculatedColumnFormula>
    </tableColumn>
    <tableColumn id="16" name="ISS CP" dataDxfId="79" totalsRowDxfId="40" dataCellStyle="Moeda">
      <calculatedColumnFormula>TRUNC(SETUP!$G$3  * SETUP!$H$3, 2)</calculatedColumnFormula>
    </tableColumn>
    <tableColumn id="19" name="OUTRAS CP" dataDxfId="78" totalsRowDxfId="39" dataCellStyle="Moeda">
      <calculatedColumnFormula>ROUND(SETUP!$G$3 * SETUP!$I$3, 2)</calculatedColumnFormula>
    </tableColumn>
    <tableColumn id="18" name="TAXA CP" dataDxfId="77" totalsRowDxfId="38" dataCellStyle="Moeda">
      <calculatedColumnFormula>SETUP!$G$3 + SUM(Tabela134[[#This Row],[EMOL CP]]:Tabela134[[#This Row],[OUTRAS CP]])</calculatedColumnFormula>
    </tableColumn>
    <tableColumn id="25" name="EMOL VD" dataDxfId="76" totalsRowDxfId="37" dataCellStyle="Moeda">
      <calculatedColumnFormula>TRUNC([APLICAÇÃO] * 2  * SETUP!$A$3, 2)</calculatedColumnFormula>
    </tableColumn>
    <tableColumn id="24" name="LIQD VD" dataDxfId="75" totalsRowDxfId="36" dataCellStyle="Moeda">
      <calculatedColumnFormula>TRUNC([APLICAÇÃO] * 2  * SETUP!$B$3, 2)</calculatedColumnFormula>
    </tableColumn>
    <tableColumn id="23" name="REG VD" dataDxfId="74" totalsRowDxfId="35" dataCellStyle="Moeda">
      <calculatedColumnFormula>TRUNC([APLICAÇÃO] * 2  * SETUP!$C$3, 2)</calculatedColumnFormula>
    </tableColumn>
    <tableColumn id="22" name="ISS VD" dataDxfId="73" totalsRowDxfId="34" dataCellStyle="Moeda">
      <calculatedColumnFormula>TRUNC(SETUP!$G$3  * SETUP!$H$3, 2)</calculatedColumnFormula>
    </tableColumn>
    <tableColumn id="21" name="OUTRAS VD" dataDxfId="72" totalsRowDxfId="33" dataCellStyle="Moeda">
      <calculatedColumnFormula>ROUND(SETUP!$G$3 * SETUP!$I$3, 2)</calculatedColumnFormula>
    </tableColumn>
    <tableColumn id="20" name="TAXA VD" dataDxfId="71" totalsRowDxfId="32" dataCellStyle="Moeda">
      <calculatedColumnFormula>SETUP!$G$3 + SUM(Tabela134[[#This Row],[EMOL VD]]:Tabela134[[#This Row],[OUTRAS VD]])</calculatedColumnFormula>
    </tableColumn>
    <tableColumn id="17" name="PREV LUCRO" dataDxfId="70" totalsRowDxfId="31" dataCellStyle="Moeda">
      <calculatedColumnFormula>((([APLICAÇÃO] * 2) - [TAXA VD]) - ([APLICAÇÃO] + [TAXA CP])) * 0.85</calculatedColumnFormula>
    </tableColumn>
    <tableColumn id="7" name="PROTEÇÃO MÊS" dataDxfId="26" totalsRowDxfId="30" dataCellStyle="Moeda">
      <calculatedColumnFormula>IF([LUCRO] &lt; 0, 0, ROUND([LUCRO]*80%, 2))</calculatedColumnFormula>
    </tableColumn>
    <tableColumn id="8" name="REINVESTIR" dataDxfId="69" totalsRowDxfId="29" dataCellStyle="Moeda">
      <calculatedColumnFormula>[LUCRO]-[PROTEÇÃO MÊS]</calculatedColumnFormula>
    </tableColumn>
    <tableColumn id="15" name="TOT RF" dataDxfId="68" totalsRowDxfId="28" dataCellStyle="Moeda">
      <calculatedColumnFormula>SUMPRODUCT(N([TRADE] &lt;= Tabela13[[#This Row],[TRADE]]), [PROTEÇÃO MÊS]) - [APORTE RF]</calculatedColumnFormula>
    </tableColumn>
    <tableColumn id="27" name="PATRIMÔNIO" dataDxfId="67" totalsRowDxfId="27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F6" totalsRowCount="1" headerRowDxfId="66" dataDxfId="65" dataCellStyle="Moeda">
  <autoFilter ref="A1:F5">
    <filterColumn colId="0"/>
    <filterColumn colId="3"/>
    <filterColumn colId="4"/>
    <filterColumn colId="5"/>
  </autoFilter>
  <tableColumns count="6">
    <tableColumn id="6" name="DATA" totalsRowLabel="Total" dataDxfId="64" totalsRowDxfId="63" dataCellStyle="Moeda">
      <calculatedColumnFormula>'RESUMO DE PROTEÇÃO'!A2</calculatedColumnFormula>
    </tableColumn>
    <tableColumn id="1" name="APLICAÇÃO" totalsRowFunction="sum" dataDxfId="62" totalsRowDxfId="61" dataCellStyle="Moeda">
      <calculatedColumnFormula>'RESUMO DE PROTEÇÃO'!E2</calculatedColumnFormula>
    </tableColumn>
    <tableColumn id="2" name="TESOURO DIRETO" totalsRowFunction="sum" dataDxfId="60" totalsRowDxfId="59" dataCellStyle="Moeda">
      <calculatedColumnFormula>[APLICAÇÃO] * 40%</calculatedColumnFormula>
    </tableColumn>
    <tableColumn id="3" name="FUNDO AÇÕES" totalsRowFunction="sum" dataDxfId="58" totalsRowDxfId="57" dataCellStyle="Moeda">
      <calculatedColumnFormula>[APLICAÇÃO] * 10%</calculatedColumnFormula>
    </tableColumn>
    <tableColumn id="4" name="FUNDOS MM" totalsRowFunction="sum" dataDxfId="56" totalsRowDxfId="55" dataCellStyle="Moeda">
      <calculatedColumnFormula>[APLICAÇÃO] * 25%</calculatedColumnFormula>
    </tableColumn>
    <tableColumn id="5" name="FUNDOS RF E REFER." totalsRowFunction="sum" dataDxfId="54" totalsRowDxfId="53" dataCellStyle="Moeda">
      <calculatedColumnFormula>[APLICAÇÃO] * 25%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tabSelected="1" workbookViewId="0">
      <selection activeCell="C9" sqref="C9"/>
    </sheetView>
  </sheetViews>
  <sheetFormatPr defaultRowHeight="11.25"/>
  <cols>
    <col min="1" max="1" width="7.5703125" style="1" bestFit="1" customWidth="1"/>
    <col min="2" max="2" width="6.85546875" style="17" bestFit="1" customWidth="1"/>
    <col min="3" max="4" width="10.710937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1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7.7109375" style="4" bestFit="1" customWidth="1"/>
    <col min="27" max="16384" width="9.140625" style="1"/>
  </cols>
  <sheetData>
    <row r="1" spans="1:26">
      <c r="A1" s="2" t="s">
        <v>29</v>
      </c>
      <c r="B1" s="16" t="s">
        <v>2</v>
      </c>
      <c r="C1" s="2" t="s">
        <v>30</v>
      </c>
      <c r="D1" s="12" t="s">
        <v>33</v>
      </c>
      <c r="E1" s="12" t="s">
        <v>1</v>
      </c>
      <c r="F1" s="2" t="s">
        <v>0</v>
      </c>
      <c r="G1" s="2" t="s">
        <v>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20</v>
      </c>
      <c r="M1" s="2" t="s">
        <v>19</v>
      </c>
      <c r="N1" s="2" t="s">
        <v>18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7</v>
      </c>
      <c r="V1" s="2" t="s">
        <v>34</v>
      </c>
      <c r="W1" s="2" t="s">
        <v>4</v>
      </c>
      <c r="X1" s="2" t="s">
        <v>8</v>
      </c>
      <c r="Y1" s="2" t="s">
        <v>31</v>
      </c>
      <c r="Z1" s="27" t="s">
        <v>36</v>
      </c>
    </row>
    <row r="2" spans="1:26">
      <c r="A2" s="1">
        <v>1</v>
      </c>
      <c r="B2" s="17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46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2">
        <f>SUMPRODUCT(N([TRADE] &lt;= Tabela1[[#This Row],[TRADE]]), [PROTEÇÃO MÊS]) - [APORTE RF]</f>
        <v>293.5</v>
      </c>
      <c r="Y2" s="6">
        <f>[TOT RF] + [REINVESTIR]</f>
        <v>366.88</v>
      </c>
      <c r="Z2" s="28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17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46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2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28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17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47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38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28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17">
        <v>41091</v>
      </c>
      <c r="C5" s="3"/>
      <c r="D5" s="3"/>
      <c r="E5" s="3">
        <v>-925.8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47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-925.8</v>
      </c>
      <c r="X5" s="38">
        <f>SUMPRODUCT(N([TRADE] &lt;= Tabela1[[#This Row],[TRADE]]), [PROTEÇÃO MÊS]) - [APORTE RF]</f>
        <v>917.54</v>
      </c>
      <c r="Y5" s="6">
        <f>[TOT RF] + [REINVESTIR] + [APLICAÇÃO]</f>
        <v>1821.1299999999999</v>
      </c>
      <c r="Z5" s="28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17">
        <v>41122</v>
      </c>
      <c r="C6" s="3"/>
      <c r="D6" s="3"/>
      <c r="E6" s="3">
        <v>7862</v>
      </c>
      <c r="F6" s="6">
        <v>923.4</v>
      </c>
      <c r="G6" s="6">
        <f>SUMPRODUCT(N([TRADE] &lt;= Tabela1[[#This Row],[TRADE]]), [APORTE]) + SUMPRODUCT(N([TRADE] &lt;= Tabela1[[#This Row],[TRADE]]), [APORTE RF])</f>
        <v>2523.4</v>
      </c>
      <c r="H6" s="6">
        <f>[MONTANTE] - SUMPRODUCT(N([TRADE] &lt;= Tabela1[[#This Row],[TRADE]]), [SAQUE]) + SUMPRODUCT(N([TRADE] &lt; Tabela1[[#This Row],[TRADE]]), [REINVESTIR])</f>
        <v>1826.9900000000002</v>
      </c>
      <c r="I6" s="6">
        <f>TRUNC([APLICAÇÃO]  * SETUP!$A$3, 2)</f>
        <v>0.67</v>
      </c>
      <c r="J6" s="6">
        <f>TRUNC([APLICAÇÃO]  * SETUP!$B$3, 2)</f>
        <v>0.5</v>
      </c>
      <c r="K6" s="6">
        <f>TRUNC([APLICAÇÃO]  * SETUP!$C$3, 2)</f>
        <v>1.26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18.2</v>
      </c>
      <c r="O6" s="6">
        <f>TRUNC([APLICAÇÃO] * 2  * SETUP!$A$3, 2)</f>
        <v>1.35</v>
      </c>
      <c r="P6" s="6">
        <f>TRUNC([APLICAÇÃO] * 2  * SETUP!$B$3, 2)</f>
        <v>1</v>
      </c>
      <c r="Q6" s="6">
        <f>TRUNC([APLICAÇÃO] * 2  * SETUP!$C$3, 2)</f>
        <v>2.5299999999999998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20.65</v>
      </c>
      <c r="U6" s="47">
        <f>((([APLICAÇÃO] * 2) - [TAXA VD]) - ([APLICAÇÃO] + [TAXA CP])) * 0.85</f>
        <v>1519.9190000000001</v>
      </c>
      <c r="V6" s="6">
        <f>IF([LUCRO] &lt; 0, 0, ROUND([LUCRO]*80%, 2))</f>
        <v>6289.6</v>
      </c>
      <c r="W6" s="6">
        <f>[LUCRO]-[PROTEÇÃO MÊS]</f>
        <v>1572.3999999999996</v>
      </c>
      <c r="X6" s="38">
        <f>SUMPRODUCT(N([TRADE] &lt;= Tabela1[[#This Row],[TRADE]]), [PROTEÇÃO MÊS]) - [APORTE RF]</f>
        <v>7207.14</v>
      </c>
      <c r="Y6" s="6">
        <f>[TOT RF] + [REINVESTIR] + [APLICAÇÃO]</f>
        <v>10606.53</v>
      </c>
      <c r="Z6" s="28">
        <f>IF(AND([PROTEÇÃO MÊS] &gt; 0, ([TOT RF] - [PROTEÇÃO MÊS]) &gt; 0), [PROTEÇÃO MÊS] / ([TOT RF] - [PROTEÇÃO MÊS]), 0)</f>
        <v>6.8548510146696611</v>
      </c>
    </row>
    <row r="7" spans="1:26">
      <c r="A7" s="1">
        <v>6</v>
      </c>
      <c r="B7" s="17">
        <v>41153</v>
      </c>
      <c r="C7" s="3"/>
      <c r="D7" s="3"/>
      <c r="E7" s="3">
        <v>18371.849999999999</v>
      </c>
      <c r="F7" s="6">
        <v>923.4</v>
      </c>
      <c r="G7" s="6">
        <f>SUMPRODUCT(N([TRADE] &lt;= Tabela1[[#This Row],[TRADE]]), [APORTE]) + SUMPRODUCT(N([TRADE] &lt;= Tabela1[[#This Row],[TRADE]]), [APORTE RF])</f>
        <v>3446.8</v>
      </c>
      <c r="H7" s="6">
        <f>[MONTANTE] - SUMPRODUCT(N([TRADE] &lt;= Tabela1[[#This Row],[TRADE]]), [SAQUE]) + SUMPRODUCT(N([TRADE] &lt; Tabela1[[#This Row],[TRADE]]), [REINVESTIR])</f>
        <v>4322.79</v>
      </c>
      <c r="I7" s="6">
        <f>TRUNC([APLICAÇÃO]  * SETUP!$A$3, 2)</f>
        <v>1.59</v>
      </c>
      <c r="J7" s="6">
        <f>TRUNC([APLICAÇÃO]  * SETUP!$B$3, 2)</f>
        <v>1.18</v>
      </c>
      <c r="K7" s="6">
        <f>TRUNC([APLICAÇÃO]  * SETUP!$C$3, 2)</f>
        <v>3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21.54</v>
      </c>
      <c r="O7" s="6">
        <f>TRUNC([APLICAÇÃO] * 2  * SETUP!$A$3, 2)</f>
        <v>3.19</v>
      </c>
      <c r="P7" s="6">
        <f>TRUNC([APLICAÇÃO] * 2  * SETUP!$B$3, 2)</f>
        <v>2.37</v>
      </c>
      <c r="Q7" s="6">
        <f>TRUNC([APLICAÇÃO] * 2  * SETUP!$C$3, 2)</f>
        <v>6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27.33</v>
      </c>
      <c r="U7" s="47">
        <f>((([APLICAÇÃO] * 2) - [TAXA VD]) - ([APLICAÇÃO] + [TAXA CP])) * 0.85</f>
        <v>3632.8319999999999</v>
      </c>
      <c r="V7" s="6">
        <f>IF([LUCRO] &lt; 0, 0, ROUND([LUCRO]*80%, 2))</f>
        <v>14697.48</v>
      </c>
      <c r="W7" s="6">
        <f>[LUCRO]-[PROTEÇÃO MÊS]</f>
        <v>3674.369999999999</v>
      </c>
      <c r="X7" s="38">
        <f>SUMPRODUCT(N([TRADE] &lt;= Tabela1[[#This Row],[TRADE]]), [PROTEÇÃO MÊS]) - [APORTE RF]</f>
        <v>21904.62</v>
      </c>
      <c r="Y7" s="6">
        <f>[TOT RF] + [REINVESTIR] + [APLICAÇÃO]</f>
        <v>29901.78</v>
      </c>
      <c r="Z7" s="28">
        <f>IF(AND([PROTEÇÃO MÊS] &gt; 0, ([TOT RF] - [PROTEÇÃO MÊS]) &gt; 0), [PROTEÇÃO MÊS] / ([TOT RF] - [PROTEÇÃO MÊS]), 0)</f>
        <v>2.0392943664199668</v>
      </c>
    </row>
    <row r="8" spans="1:26">
      <c r="A8" s="1">
        <v>7</v>
      </c>
      <c r="B8" s="17">
        <v>41183</v>
      </c>
      <c r="C8" s="3"/>
      <c r="D8" s="3"/>
      <c r="E8" s="3">
        <v>30328</v>
      </c>
      <c r="F8" s="6">
        <v>923.4</v>
      </c>
      <c r="G8" s="6">
        <f>SUMPRODUCT(N([TRADE] &lt;= Tabela1[[#This Row],[TRADE]]), [APORTE]) + SUMPRODUCT(N([TRADE] &lt;= Tabela1[[#This Row],[TRADE]]), [APORTE RF])</f>
        <v>4370.2</v>
      </c>
      <c r="H8" s="6">
        <f>[MONTANTE] - SUMPRODUCT(N([TRADE] &lt;= Tabela1[[#This Row],[TRADE]]), [SAQUE]) + SUMPRODUCT(N([TRADE] &lt; Tabela1[[#This Row],[TRADE]]), [REINVESTIR])</f>
        <v>8920.5599999999977</v>
      </c>
      <c r="I8" s="6">
        <f>TRUNC([APLICAÇÃO]  * SETUP!$A$3, 2)</f>
        <v>3.3</v>
      </c>
      <c r="J8" s="6">
        <f>TRUNC([APLICAÇÃO]  * SETUP!$B$3, 2)</f>
        <v>2.4500000000000002</v>
      </c>
      <c r="K8" s="6">
        <f>TRUNC([APLICAÇÃO]  * SETUP!$C$3, 2)</f>
        <v>6.19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27.71</v>
      </c>
      <c r="O8" s="6">
        <f>TRUNC([APLICAÇÃO] * 2  * SETUP!$A$3, 2)</f>
        <v>6.6</v>
      </c>
      <c r="P8" s="6">
        <f>TRUNC([APLICAÇÃO] * 2  * SETUP!$B$3, 2)</f>
        <v>4.9000000000000004</v>
      </c>
      <c r="Q8" s="6">
        <f>TRUNC([APLICAÇÃO] * 2  * SETUP!$C$3, 2)</f>
        <v>12.39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39.659999999999997</v>
      </c>
      <c r="U8" s="47">
        <f>((([APLICAÇÃO] * 2) - [TAXA VD]) - ([APLICAÇÃO] + [TAXA CP])) * 0.85</f>
        <v>7525.2114999999985</v>
      </c>
      <c r="V8" s="6">
        <f>IF([LUCRO] &lt; 0, 0, ROUND([LUCRO]*80%, 2))</f>
        <v>24262.400000000001</v>
      </c>
      <c r="W8" s="6">
        <f>[LUCRO]-[PROTEÇÃO MÊS]</f>
        <v>6065.5999999999985</v>
      </c>
      <c r="X8" s="38">
        <f>SUMPRODUCT(N([TRADE] &lt;= Tabela1[[#This Row],[TRADE]]), [PROTEÇÃO MÊS]) - [APORTE RF]</f>
        <v>46167.020000000004</v>
      </c>
      <c r="Y8" s="6">
        <f>[TOT RF] + [REINVESTIR] + [APLICAÇÃO]</f>
        <v>61153.18</v>
      </c>
      <c r="Z8" s="28">
        <f>IF(AND([PROTEÇÃO MÊS] &gt; 0, ([TOT RF] - [PROTEÇÃO MÊS]) &gt; 0), [PROTEÇÃO MÊS] / ([TOT RF] - [PROTEÇÃO MÊS]), 0)</f>
        <v>1.1076384799188481</v>
      </c>
    </row>
    <row r="9" spans="1:26">
      <c r="A9" s="1">
        <v>8</v>
      </c>
      <c r="B9" s="17">
        <v>41214</v>
      </c>
      <c r="C9" s="3"/>
      <c r="D9" s="3"/>
      <c r="E9" s="3">
        <v>81138.559999999998</v>
      </c>
      <c r="F9" s="6">
        <v>923.4</v>
      </c>
      <c r="G9" s="6">
        <f>SUMPRODUCT(N([TRADE] &lt;= Tabela1[[#This Row],[TRADE]]), [APORTE]) + SUMPRODUCT(N([TRADE] &lt;= Tabela1[[#This Row],[TRADE]]), [APORTE RF])</f>
        <v>5293.5999999999995</v>
      </c>
      <c r="H9" s="6">
        <f>[MONTANTE] - SUMPRODUCT(N([TRADE] &lt;= Tabela1[[#This Row],[TRADE]]), [SAQUE]) + SUMPRODUCT(N([TRADE] &lt; Tabela1[[#This Row],[TRADE]]), [REINVESTIR])</f>
        <v>15909.559999999998</v>
      </c>
      <c r="I9" s="6">
        <f>TRUNC([APLICAÇÃO]  * SETUP!$A$3, 2)</f>
        <v>5.88</v>
      </c>
      <c r="J9" s="6">
        <f>TRUNC([APLICAÇÃO]  * SETUP!$B$3, 2)</f>
        <v>4.37</v>
      </c>
      <c r="K9" s="6">
        <f>TRUNC([APLICAÇÃO]  * SETUP!$C$3, 2)</f>
        <v>11.05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37.07</v>
      </c>
      <c r="O9" s="6">
        <f>TRUNC([APLICAÇÃO] * 2  * SETUP!$A$3, 2)</f>
        <v>11.77</v>
      </c>
      <c r="P9" s="6">
        <f>TRUNC([APLICAÇÃO] * 2  * SETUP!$B$3, 2)</f>
        <v>8.75</v>
      </c>
      <c r="Q9" s="6">
        <f>TRUNC([APLICAÇÃO] * 2  * SETUP!$C$3, 2)</f>
        <v>22.11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58.399999999999991</v>
      </c>
      <c r="U9" s="47">
        <f>((([APLICAÇÃO] * 2) - [TAXA VD]) - ([APLICAÇÃO] + [TAXA CP])) * 0.85</f>
        <v>13441.976499999997</v>
      </c>
      <c r="V9" s="6">
        <f>IF([LUCRO] &lt; 0, 0, ROUND([LUCRO]*80%, 2))</f>
        <v>64910.85</v>
      </c>
      <c r="W9" s="6">
        <f>[LUCRO]-[PROTEÇÃO MÊS]</f>
        <v>16227.71</v>
      </c>
      <c r="X9" s="38">
        <f>SUMPRODUCT(N([TRADE] &lt;= Tabela1[[#This Row],[TRADE]]), [PROTEÇÃO MÊS]) - [APORTE RF]</f>
        <v>111077.87</v>
      </c>
      <c r="Y9" s="6">
        <f>[TOT RF] + [REINVESTIR] + [APLICAÇÃO]</f>
        <v>143215.13999999998</v>
      </c>
      <c r="Z9" s="28">
        <f>IF(AND([PROTEÇÃO MÊS] &gt; 0, ([TOT RF] - [PROTEÇÃO MÊS]) &gt; 0), [PROTEÇÃO MÊS] / ([TOT RF] - [PROTEÇÃO MÊS]), 0)</f>
        <v>1.4060004306104228</v>
      </c>
    </row>
    <row r="10" spans="1:26">
      <c r="A10" s="1">
        <v>9</v>
      </c>
      <c r="B10" s="17">
        <v>41244</v>
      </c>
      <c r="C10" s="3"/>
      <c r="D10" s="3"/>
      <c r="E10" s="3">
        <v>16086.2</v>
      </c>
      <c r="F10" s="6">
        <v>435</v>
      </c>
      <c r="G10" s="6">
        <f>SUMPRODUCT(N([TRADE] &lt;= Tabela1[[#This Row],[TRADE]]), [APORTE]) + SUMPRODUCT(N([TRADE] &lt;= Tabela1[[#This Row],[TRADE]]), [APORTE RF])</f>
        <v>5728.5999999999995</v>
      </c>
      <c r="H10" s="6">
        <f>[MONTANTE] - SUMPRODUCT(N([TRADE] &lt;= Tabela1[[#This Row],[TRADE]]), [SAQUE]) + SUMPRODUCT(N([TRADE] &lt; Tabela1[[#This Row],[TRADE]]), [REINVESTIR])</f>
        <v>32572.269999999997</v>
      </c>
      <c r="I10" s="6">
        <f>TRUNC([APLICAÇÃO]  * SETUP!$A$3, 2)</f>
        <v>12.05</v>
      </c>
      <c r="J10" s="6">
        <f>TRUNC([APLICAÇÃO]  * SETUP!$B$3, 2)</f>
        <v>8.9499999999999993</v>
      </c>
      <c r="K10" s="6">
        <f>TRUNC([APLICAÇÃO]  * SETUP!$C$3, 2)</f>
        <v>22.63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59.399999999999991</v>
      </c>
      <c r="O10" s="6">
        <f>TRUNC([APLICAÇÃO] * 2  * SETUP!$A$3, 2)</f>
        <v>24.1</v>
      </c>
      <c r="P10" s="6">
        <f>TRUNC([APLICAÇÃO] * 2  * SETUP!$B$3, 2)</f>
        <v>17.91</v>
      </c>
      <c r="Q10" s="6">
        <f>TRUNC([APLICAÇÃO] * 2  * SETUP!$C$3, 2)</f>
        <v>45.27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103.05000000000001</v>
      </c>
      <c r="U10" s="47">
        <f>((([APLICAÇÃO] * 2) - [TAXA VD]) - ([APLICAÇÃO] + [TAXA CP])) * 0.85</f>
        <v>27548.346999999994</v>
      </c>
      <c r="V10" s="6">
        <f>IF([LUCRO] &lt; 0, 0, ROUND([LUCRO]*80%, 2))</f>
        <v>12868.96</v>
      </c>
      <c r="W10" s="6">
        <f>[LUCRO]-[PROTEÇÃO MÊS]</f>
        <v>3217.2400000000016</v>
      </c>
      <c r="X10" s="38">
        <f>SUMPRODUCT(N([TRADE] &lt;= Tabela1[[#This Row],[TRADE]]), [PROTEÇÃO MÊS]) - [APORTE RF]</f>
        <v>123946.82999999999</v>
      </c>
      <c r="Y10" s="6">
        <f>[TOT RF] + [REINVESTIR] + [APLICAÇÃO]</f>
        <v>159736.34</v>
      </c>
      <c r="Z10" s="28">
        <f>IF(AND([PROTEÇÃO MÊS] &gt; 0, ([TOT RF] - [PROTEÇÃO MÊS]) &gt; 0), [PROTEÇÃO MÊS] / ([TOT RF] - [PROTEÇÃO MÊS]), 0)</f>
        <v>0.11585530043022971</v>
      </c>
    </row>
    <row r="11" spans="1:26">
      <c r="A11" s="1">
        <v>10</v>
      </c>
      <c r="B11" s="17">
        <v>41275</v>
      </c>
      <c r="C11" s="3"/>
      <c r="D11" s="3"/>
      <c r="E11" s="3">
        <v>22685.200000000001</v>
      </c>
      <c r="F11" s="6">
        <v>435</v>
      </c>
      <c r="G11" s="6">
        <f>SUMPRODUCT(N([TRADE] &lt;= Tabela1[[#This Row],[TRADE]]), [APORTE]) + SUMPRODUCT(N([TRADE] &lt;= Tabela1[[#This Row],[TRADE]]), [APORTE RF])</f>
        <v>6163.5999999999995</v>
      </c>
      <c r="H11" s="6">
        <f>[MONTANTE] - SUMPRODUCT(N([TRADE] &lt;= Tabela1[[#This Row],[TRADE]]), [SAQUE]) + SUMPRODUCT(N([TRADE] &lt; Tabela1[[#This Row],[TRADE]]), [REINVESTIR])</f>
        <v>36224.51</v>
      </c>
      <c r="I11" s="6">
        <f>TRUNC([APLICAÇÃO]  * SETUP!$A$3, 2)</f>
        <v>13.4</v>
      </c>
      <c r="J11" s="6">
        <f>TRUNC([APLICAÇÃO]  * SETUP!$B$3, 2)</f>
        <v>9.9600000000000009</v>
      </c>
      <c r="K11" s="6">
        <f>TRUNC([APLICAÇÃO]  * SETUP!$C$3, 2)</f>
        <v>25.17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64.3</v>
      </c>
      <c r="O11" s="6">
        <f>TRUNC([APLICAÇÃO] * 2  * SETUP!$A$3, 2)</f>
        <v>26.8</v>
      </c>
      <c r="P11" s="6">
        <f>TRUNC([APLICAÇÃO] * 2  * SETUP!$B$3, 2)</f>
        <v>19.920000000000002</v>
      </c>
      <c r="Q11" s="6">
        <f>TRUNC([APLICAÇÃO] * 2  * SETUP!$C$3, 2)</f>
        <v>50.35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112.84</v>
      </c>
      <c r="U11" s="47">
        <f>((([APLICAÇÃO] * 2) - [TAXA VD]) - ([APLICAÇÃO] + [TAXA CP])) * 0.85</f>
        <v>30640.264500000001</v>
      </c>
      <c r="V11" s="6">
        <f>IF([LUCRO] &lt; 0, 0, ROUND([LUCRO]*80%, 2))</f>
        <v>18148.16</v>
      </c>
      <c r="W11" s="6">
        <f>[LUCRO]-[PROTEÇÃO MÊS]</f>
        <v>4537.0400000000009</v>
      </c>
      <c r="X11" s="38">
        <f>SUMPRODUCT(N([TRADE] &lt;= Tabela1[[#This Row],[TRADE]]), [PROTEÇÃO MÊS]) - [APORTE RF]</f>
        <v>142094.99</v>
      </c>
      <c r="Y11" s="6">
        <f>[TOT RF] + [REINVESTIR] + [APLICAÇÃO]</f>
        <v>182856.54</v>
      </c>
      <c r="Z11" s="4">
        <f>IF(AND([PROTEÇÃO MÊS] &gt; 0, ([TOT RF] - [PROTEÇÃO MÊS]) &gt; 0), [PROTEÇÃO MÊS] / ([TOT RF] - [PROTEÇÃO MÊS]), 0)</f>
        <v>0.14641891204478566</v>
      </c>
    </row>
    <row r="12" spans="1:26">
      <c r="A12" s="1">
        <v>11</v>
      </c>
      <c r="B12" s="17">
        <v>41306</v>
      </c>
      <c r="C12" s="3"/>
      <c r="D12" s="3"/>
      <c r="E12" s="3">
        <v>9607.81</v>
      </c>
      <c r="F12" s="6">
        <v>435</v>
      </c>
      <c r="G12" s="6">
        <f>SUMPRODUCT(N([TRADE] &lt;= Tabela1[[#This Row],[TRADE]]), [APORTE]) + SUMPRODUCT(N([TRADE] &lt;= Tabela1[[#This Row],[TRADE]]), [APORTE RF])</f>
        <v>6598.5999999999995</v>
      </c>
      <c r="H12" s="6">
        <f>[MONTANTE] - SUMPRODUCT(N([TRADE] &lt;= Tabela1[[#This Row],[TRADE]]), [SAQUE]) + SUMPRODUCT(N([TRADE] &lt; Tabela1[[#This Row],[TRADE]]), [REINVESTIR])</f>
        <v>41196.549999999996</v>
      </c>
      <c r="I12" s="6">
        <f>TRUNC([APLICAÇÃO]  * SETUP!$A$3, 2)</f>
        <v>15.24</v>
      </c>
      <c r="J12" s="6">
        <f>TRUNC([APLICAÇÃO]  * SETUP!$B$3, 2)</f>
        <v>11.32</v>
      </c>
      <c r="K12" s="6">
        <f>TRUNC([APLICAÇÃO]  * SETUP!$C$3, 2)</f>
        <v>28.63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70.959999999999994</v>
      </c>
      <c r="O12" s="6">
        <f>TRUNC([APLICAÇÃO] * 2  * SETUP!$A$3, 2)</f>
        <v>30.48</v>
      </c>
      <c r="P12" s="6">
        <f>TRUNC([APLICAÇÃO] * 2  * SETUP!$B$3, 2)</f>
        <v>22.65</v>
      </c>
      <c r="Q12" s="6">
        <f>TRUNC([APLICAÇÃO] * 2  * SETUP!$C$3, 2)</f>
        <v>57.26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126.16</v>
      </c>
      <c r="U12" s="47">
        <f>((([APLICAÇÃO] * 2) - [TAXA VD]) - ([APLICAÇÃO] + [TAXA CP])) * 0.85</f>
        <v>34849.515499999994</v>
      </c>
      <c r="V12" s="6">
        <f>IF([LUCRO] &lt; 0, 0, ROUND([LUCRO]*80%, 2))</f>
        <v>7686.25</v>
      </c>
      <c r="W12" s="6">
        <f>[LUCRO]-[PROTEÇÃO MÊS]</f>
        <v>1921.5599999999995</v>
      </c>
      <c r="X12" s="38">
        <f>SUMPRODUCT(N([TRADE] &lt;= Tabela1[[#This Row],[TRADE]]), [PROTEÇÃO MÊS]) - [APORTE RF]</f>
        <v>149781.24</v>
      </c>
      <c r="Y12" s="6">
        <f>[TOT RF] + [REINVESTIR] + [APLICAÇÃO]</f>
        <v>192899.34999999998</v>
      </c>
      <c r="Z12" s="4">
        <f>IF(AND([PROTEÇÃO MÊS] &gt; 0, ([TOT RF] - [PROTEÇÃO MÊS]) &gt; 0), [PROTEÇÃO MÊS] / ([TOT RF] - [PROTEÇÃO MÊS]), 0)</f>
        <v>5.409233640116376E-2</v>
      </c>
    </row>
    <row r="13" spans="1:26">
      <c r="A13" s="1">
        <v>12</v>
      </c>
      <c r="B13" s="17">
        <v>41334</v>
      </c>
      <c r="C13" s="3"/>
      <c r="D13" s="3"/>
      <c r="E13" s="3">
        <v>11827.16</v>
      </c>
      <c r="F13" s="6">
        <v>700</v>
      </c>
      <c r="G13" s="6">
        <f>SUMPRODUCT(N([TRADE] &lt;= Tabela1[[#This Row],[TRADE]]), [APORTE]) + SUMPRODUCT(N([TRADE] &lt;= Tabela1[[#This Row],[TRADE]]), [APORTE RF])</f>
        <v>7298.5999999999995</v>
      </c>
      <c r="H13" s="6">
        <f>[MONTANTE] - SUMPRODUCT(N([TRADE] &lt;= Tabela1[[#This Row],[TRADE]]), [SAQUE]) + SUMPRODUCT(N([TRADE] &lt; Tabela1[[#This Row],[TRADE]]), [REINVESTIR])</f>
        <v>43818.109999999993</v>
      </c>
      <c r="I13" s="6">
        <f>TRUNC([APLICAÇÃO]  * SETUP!$A$3, 2)</f>
        <v>16.21</v>
      </c>
      <c r="J13" s="6">
        <f>TRUNC([APLICAÇÃO]  * SETUP!$B$3, 2)</f>
        <v>12.04</v>
      </c>
      <c r="K13" s="6">
        <f>TRUNC([APLICAÇÃO]  * SETUP!$C$3, 2)</f>
        <v>30.45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74.47</v>
      </c>
      <c r="O13" s="6">
        <f>TRUNC([APLICAÇÃO] * 2  * SETUP!$A$3, 2)</f>
        <v>32.42</v>
      </c>
      <c r="P13" s="6">
        <f>TRUNC([APLICAÇÃO] * 2  * SETUP!$B$3, 2)</f>
        <v>24.09</v>
      </c>
      <c r="Q13" s="6">
        <f>TRUNC([APLICAÇÃO] * 2  * SETUP!$C$3, 2)</f>
        <v>60.9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133.18</v>
      </c>
      <c r="U13" s="47">
        <f>((([APLICAÇÃO] * 2) - [TAXA VD]) - ([APLICAÇÃO] + [TAXA CP])) * 0.85</f>
        <v>37068.890999999996</v>
      </c>
      <c r="V13" s="6">
        <f>IF([LUCRO] &lt; 0, 0, ROUND([LUCRO]*80%, 2))</f>
        <v>9461.73</v>
      </c>
      <c r="W13" s="6">
        <f>[LUCRO]-[PROTEÇÃO MÊS]</f>
        <v>2365.4300000000003</v>
      </c>
      <c r="X13" s="38">
        <f>SUMPRODUCT(N([TRADE] &lt;= Tabela1[[#This Row],[TRADE]]), [PROTEÇÃO MÊS]) - [APORTE RF]</f>
        <v>159242.97</v>
      </c>
      <c r="Y13" s="6">
        <f>[TOT RF] + [REINVESTIR] + [APLICAÇÃO]</f>
        <v>205426.50999999998</v>
      </c>
      <c r="Z13" s="4">
        <f>IF(AND([PROTEÇÃO MÊS] &gt; 0, ([TOT RF] - [PROTEÇÃO MÊS]) &gt; 0), [PROTEÇÃO MÊS] / ([TOT RF] - [PROTEÇÃO MÊS]), 0)</f>
        <v>6.3170327605780272E-2</v>
      </c>
    </row>
    <row r="14" spans="1:26">
      <c r="A14" s="1">
        <v>13</v>
      </c>
      <c r="B14" s="17">
        <v>41365</v>
      </c>
      <c r="C14" s="3"/>
      <c r="D14" s="3"/>
      <c r="E14" s="3">
        <v>14422.32</v>
      </c>
      <c r="F14" s="6">
        <v>700</v>
      </c>
      <c r="G14" s="6">
        <f>SUMPRODUCT(N([TRADE] &lt;= Tabela1[[#This Row],[TRADE]]), [APORTE]) + SUMPRODUCT(N([TRADE] &lt;= Tabela1[[#This Row],[TRADE]]), [APORTE RF])</f>
        <v>7998.5999999999995</v>
      </c>
      <c r="H14" s="6">
        <f>[MONTANTE] - SUMPRODUCT(N([TRADE] &lt;= Tabela1[[#This Row],[TRADE]]), [SAQUE]) + SUMPRODUCT(N([TRADE] &lt; Tabela1[[#This Row],[TRADE]]), [REINVESTIR])</f>
        <v>46883.539999999994</v>
      </c>
      <c r="I14" s="6">
        <f>TRUNC([APLICAÇÃO]  * SETUP!$A$3, 2)</f>
        <v>17.34</v>
      </c>
      <c r="J14" s="6">
        <f>TRUNC([APLICAÇÃO]  * SETUP!$B$3, 2)</f>
        <v>12.89</v>
      </c>
      <c r="K14" s="6">
        <f>TRUNC([APLICAÇÃO]  * SETUP!$C$3, 2)</f>
        <v>32.58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78.58</v>
      </c>
      <c r="O14" s="6">
        <f>TRUNC([APLICAÇÃO] * 2  * SETUP!$A$3, 2)</f>
        <v>34.69</v>
      </c>
      <c r="P14" s="6">
        <f>TRUNC([APLICAÇÃO] * 2  * SETUP!$B$3, 2)</f>
        <v>25.78</v>
      </c>
      <c r="Q14" s="6">
        <f>TRUNC([APLICAÇÃO] * 2  * SETUP!$C$3, 2)</f>
        <v>65.16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141.4</v>
      </c>
      <c r="U14" s="47">
        <f>((([APLICAÇÃO] * 2) - [TAXA VD]) - ([APLICAÇÃO] + [TAXA CP])) * 0.85</f>
        <v>39664.025999999998</v>
      </c>
      <c r="V14" s="6">
        <f>IF([LUCRO] &lt; 0, 0, ROUND([LUCRO]*80%, 2))</f>
        <v>11537.86</v>
      </c>
      <c r="W14" s="6">
        <f>[LUCRO]-[PROTEÇÃO MÊS]</f>
        <v>2884.4599999999991</v>
      </c>
      <c r="X14" s="38">
        <f>SUMPRODUCT(N([TRADE] &lt;= Tabela1[[#This Row],[TRADE]]), [PROTEÇÃO MÊS]) - [APORTE RF]</f>
        <v>170780.83000000002</v>
      </c>
      <c r="Y14" s="6">
        <f>[TOT RF] + [REINVESTIR] + [APLICAÇÃO]</f>
        <v>220548.83000000002</v>
      </c>
      <c r="Z14" s="4">
        <f>IF(AND([PROTEÇÃO MÊS] &gt; 0, ([TOT RF] - [PROTEÇÃO MÊS]) &gt; 0), [PROTEÇÃO MÊS] / ([TOT RF] - [PROTEÇÃO MÊS]), 0)</f>
        <v>7.2454438648060879E-2</v>
      </c>
    </row>
    <row r="15" spans="1:26">
      <c r="A15" s="1">
        <v>14</v>
      </c>
      <c r="B15" s="17">
        <v>41395</v>
      </c>
      <c r="C15" s="3"/>
      <c r="D15" s="3"/>
      <c r="E15" s="3">
        <v>17456.86</v>
      </c>
      <c r="F15" s="6">
        <v>700</v>
      </c>
      <c r="G15" s="6">
        <f>SUMPRODUCT(N([TRADE] &lt;= Tabela1[[#This Row],[TRADE]]), [APORTE]) + SUMPRODUCT(N([TRADE] &lt;= Tabela1[[#This Row],[TRADE]]), [APORTE RF])</f>
        <v>8698.5999999999985</v>
      </c>
      <c r="H15" s="6">
        <f>[MONTANTE] - SUMPRODUCT(N([TRADE] &lt;= Tabela1[[#This Row],[TRADE]]), [SAQUE]) + SUMPRODUCT(N([TRADE] &lt; Tabela1[[#This Row],[TRADE]]), [REINVESTIR])</f>
        <v>50467.999999999993</v>
      </c>
      <c r="I15" s="6">
        <f>TRUNC([APLICAÇÃO]  * SETUP!$A$3, 2)</f>
        <v>18.670000000000002</v>
      </c>
      <c r="J15" s="6">
        <f>TRUNC([APLICAÇÃO]  * SETUP!$B$3, 2)</f>
        <v>13.87</v>
      </c>
      <c r="K15" s="6">
        <f>TRUNC([APLICAÇÃO]  * SETUP!$C$3, 2)</f>
        <v>35.07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83.38000000000001</v>
      </c>
      <c r="O15" s="6">
        <f>TRUNC([APLICAÇÃO] * 2  * SETUP!$A$3, 2)</f>
        <v>37.340000000000003</v>
      </c>
      <c r="P15" s="6">
        <f>TRUNC([APLICAÇÃO] * 2  * SETUP!$B$3, 2)</f>
        <v>27.75</v>
      </c>
      <c r="Q15" s="6">
        <f>TRUNC([APLICAÇÃO] * 2  * SETUP!$C$3, 2)</f>
        <v>70.150000000000006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151.01000000000002</v>
      </c>
      <c r="U15" s="47">
        <f>((([APLICAÇÃO] * 2) - [TAXA VD]) - ([APLICAÇÃO] + [TAXA CP])) * 0.85</f>
        <v>42698.568500000001</v>
      </c>
      <c r="V15" s="6">
        <f>IF([LUCRO] &lt; 0, 0, ROUND([LUCRO]*80%, 2))</f>
        <v>13965.49</v>
      </c>
      <c r="W15" s="6">
        <f>[LUCRO]-[PROTEÇÃO MÊS]</f>
        <v>3491.3700000000008</v>
      </c>
      <c r="X15" s="38">
        <f>SUMPRODUCT(N([TRADE] &lt;= Tabela1[[#This Row],[TRADE]]), [PROTEÇÃO MÊS]) - [APORTE RF]</f>
        <v>184746.32</v>
      </c>
      <c r="Y15" s="6">
        <f>[TOT RF] + [REINVESTIR] + [APLICAÇÃO]</f>
        <v>238705.69</v>
      </c>
      <c r="Z15" s="4">
        <f>IF(AND([PROTEÇÃO MÊS] &gt; 0, ([TOT RF] - [PROTEÇÃO MÊS]) &gt; 0), [PROTEÇÃO MÊS] / ([TOT RF] - [PROTEÇÃO MÊS]), 0)</f>
        <v>8.1774342003139336E-2</v>
      </c>
    </row>
    <row r="16" spans="1:26">
      <c r="A16" s="1">
        <v>15</v>
      </c>
      <c r="B16" s="17">
        <v>41426</v>
      </c>
      <c r="C16" s="18"/>
      <c r="D16" s="18"/>
      <c r="E16" s="18">
        <v>21005.19</v>
      </c>
      <c r="F16" s="6">
        <v>700</v>
      </c>
      <c r="G16" s="19">
        <f>SUMPRODUCT(N([TRADE] &lt;= Tabela1[[#This Row],[TRADE]]), [APORTE]) + SUMPRODUCT(N([TRADE] &lt;= Tabela1[[#This Row],[TRADE]]), [APORTE RF])</f>
        <v>9398.5999999999985</v>
      </c>
      <c r="H16" s="19">
        <f>[MONTANTE] - SUMPRODUCT(N([TRADE] &lt;= Tabela1[[#This Row],[TRADE]]), [SAQUE]) + SUMPRODUCT(N([TRADE] &lt; Tabela1[[#This Row],[TRADE]]), [REINVESTIR])</f>
        <v>54659.369999999995</v>
      </c>
      <c r="I16" s="19">
        <f>TRUNC([APLICAÇÃO]  * SETUP!$A$3, 2)</f>
        <v>20.22</v>
      </c>
      <c r="J16" s="19">
        <f>TRUNC([APLICAÇÃO]  * SETUP!$B$3, 2)</f>
        <v>15.03</v>
      </c>
      <c r="K16" s="19">
        <f>TRUNC([APLICAÇÃO]  * SETUP!$C$3, 2)</f>
        <v>37.979999999999997</v>
      </c>
      <c r="L16" s="19">
        <f>TRUNC(SETUP!$G$3  * SETUP!$H$3, 2)</f>
        <v>0.28999999999999998</v>
      </c>
      <c r="M16" s="19">
        <f>ROUND(SETUP!$G$3 * SETUP!$I$3, 2)</f>
        <v>0.57999999999999996</v>
      </c>
      <c r="N16" s="19">
        <f>SETUP!$G$3 + SUM(Tabela1[[#This Row],[EMOL CP]]:Tabela1[[#This Row],[OUTRAS CP]])</f>
        <v>89</v>
      </c>
      <c r="O16" s="19">
        <f>TRUNC([APLICAÇÃO] * 2  * SETUP!$A$3, 2)</f>
        <v>40.44</v>
      </c>
      <c r="P16" s="19">
        <f>TRUNC([APLICAÇÃO] * 2  * SETUP!$B$3, 2)</f>
        <v>30.06</v>
      </c>
      <c r="Q16" s="19">
        <f>TRUNC([APLICAÇÃO] * 2  * SETUP!$C$3, 2)</f>
        <v>75.97</v>
      </c>
      <c r="R16" s="19">
        <f>TRUNC(SETUP!$G$3  * SETUP!$H$3, 2)</f>
        <v>0.28999999999999998</v>
      </c>
      <c r="S16" s="19">
        <f>ROUND(SETUP!$G$3 * SETUP!$I$3, 2)</f>
        <v>0.57999999999999996</v>
      </c>
      <c r="T16" s="19">
        <f>SETUP!$G$3 + SUM(Tabela1[[#This Row],[EMOL VD]]:Tabela1[[#This Row],[OUTRAS VD]])</f>
        <v>162.24</v>
      </c>
      <c r="U16" s="48">
        <f>((([APLICAÇÃO] * 2) - [TAXA VD]) - ([APLICAÇÃO] + [TAXA CP])) * 0.85</f>
        <v>46246.910499999991</v>
      </c>
      <c r="V16" s="19">
        <f>IF([LUCRO] &lt; 0, 0, ROUND([LUCRO]*80%, 2))</f>
        <v>16804.150000000001</v>
      </c>
      <c r="W16" s="19">
        <f>[LUCRO]-[PROTEÇÃO MÊS]</f>
        <v>4201.0399999999972</v>
      </c>
      <c r="X16" s="39">
        <f>SUMPRODUCT(N([TRADE] &lt;= Tabela1[[#This Row],[TRADE]]), [PROTEÇÃO MÊS]) - [APORTE RF]</f>
        <v>201550.47</v>
      </c>
      <c r="Y16" s="19">
        <f>[TOT RF] + [REINVESTIR] + [APLICAÇÃO]</f>
        <v>260410.88</v>
      </c>
      <c r="Z16" s="20">
        <f>IF(AND([PROTEÇÃO MÊS] &gt; 0, ([TOT RF] - [PROTEÇÃO MÊS]) &gt; 0), [PROTEÇÃO MÊS] / ([TOT RF] - [PROTEÇÃO MÊS]), 0)</f>
        <v>9.0957968743301629E-2</v>
      </c>
    </row>
    <row r="17" spans="1:26">
      <c r="A17" s="1">
        <v>16</v>
      </c>
      <c r="B17" s="17">
        <v>41456</v>
      </c>
      <c r="C17" s="3"/>
      <c r="D17" s="3"/>
      <c r="E17" s="3">
        <v>25154.34</v>
      </c>
      <c r="F17" s="6">
        <v>700</v>
      </c>
      <c r="G17" s="6">
        <f>SUMPRODUCT(N([TRADE] &lt;= Tabela1[[#This Row],[TRADE]]), [APORTE]) + SUMPRODUCT(N([TRADE] &lt;= Tabela1[[#This Row],[TRADE]]), [APORTE RF])</f>
        <v>10098.599999999999</v>
      </c>
      <c r="H17" s="6">
        <f>[MONTANTE] - SUMPRODUCT(N([TRADE] &lt;= Tabela1[[#This Row],[TRADE]]), [SAQUE]) + SUMPRODUCT(N([TRADE] &lt; Tabela1[[#This Row],[TRADE]]), [REINVESTIR])</f>
        <v>59560.409999999996</v>
      </c>
      <c r="I17" s="6">
        <f>TRUNC([APLICAÇÃO]  * SETUP!$A$3, 2)</f>
        <v>22.03</v>
      </c>
      <c r="J17" s="6">
        <f>TRUNC([APLICAÇÃO]  * SETUP!$B$3, 2)</f>
        <v>16.37</v>
      </c>
      <c r="K17" s="6">
        <f>TRUNC([APLICAÇÃO]  * SETUP!$C$3, 2)</f>
        <v>41.39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95.560000000000016</v>
      </c>
      <c r="O17" s="6">
        <f>TRUNC([APLICAÇÃO] * 2  * SETUP!$A$3, 2)</f>
        <v>44.07</v>
      </c>
      <c r="P17" s="6">
        <f>TRUNC([APLICAÇÃO] * 2  * SETUP!$B$3, 2)</f>
        <v>32.75</v>
      </c>
      <c r="Q17" s="6">
        <f>TRUNC([APLICAÇÃO] * 2  * SETUP!$C$3, 2)</f>
        <v>82.78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175.37</v>
      </c>
      <c r="U17" s="47">
        <f>((([APLICAÇÃO] * 2) - [TAXA VD]) - ([APLICAÇÃO] + [TAXA CP])) * 0.85</f>
        <v>50396.058000000005</v>
      </c>
      <c r="V17" s="6">
        <f>IF([LUCRO] &lt; 0, 0, ROUND([LUCRO]*80%, 2))</f>
        <v>20123.47</v>
      </c>
      <c r="W17" s="6">
        <f>[LUCRO]-[PROTEÇÃO MÊS]</f>
        <v>5030.869999999999</v>
      </c>
      <c r="X17" s="38">
        <f>SUMPRODUCT(N([TRADE] &lt;= Tabela1[[#This Row],[TRADE]]), [PROTEÇÃO MÊS]) - [APORTE RF]</f>
        <v>221673.94</v>
      </c>
      <c r="Y17" s="6">
        <f>[TOT RF] + [REINVESTIR] + [APLICAÇÃO]</f>
        <v>286265.21999999997</v>
      </c>
      <c r="Z17" s="4">
        <f>IF(AND([PROTEÇÃO MÊS] &gt; 0, ([TOT RF] - [PROTEÇÃO MÊS]) &gt; 0), [PROTEÇÃO MÊS] / ([TOT RF] - [PROTEÇÃO MÊS]), 0)</f>
        <v>9.9843329564054104E-2</v>
      </c>
    </row>
    <row r="18" spans="1:26">
      <c r="A18" s="1">
        <v>17</v>
      </c>
      <c r="B18" s="17">
        <v>41487</v>
      </c>
      <c r="C18" s="3"/>
      <c r="D18" s="3"/>
      <c r="E18" s="3">
        <v>30005.99</v>
      </c>
      <c r="F18" s="6">
        <v>700</v>
      </c>
      <c r="G18" s="6">
        <f>SUMPRODUCT(N([TRADE] &lt;= Tabela1[[#This Row],[TRADE]]), [APORTE]) + SUMPRODUCT(N([TRADE] &lt;= Tabela1[[#This Row],[TRADE]]), [APORTE RF])</f>
        <v>10798.599999999999</v>
      </c>
      <c r="H18" s="6">
        <f>[MONTANTE] - SUMPRODUCT(N([TRADE] &lt;= Tabela1[[#This Row],[TRADE]]), [SAQUE]) + SUMPRODUCT(N([TRADE] &lt; Tabela1[[#This Row],[TRADE]]), [REINVESTIR])</f>
        <v>65291.279999999992</v>
      </c>
      <c r="I18" s="6">
        <f>TRUNC([APLICAÇÃO]  * SETUP!$A$3, 2)</f>
        <v>24.15</v>
      </c>
      <c r="J18" s="6">
        <f>TRUNC([APLICAÇÃO]  * SETUP!$B$3, 2)</f>
        <v>17.95</v>
      </c>
      <c r="K18" s="6">
        <f>TRUNC([APLICAÇÃO]  * SETUP!$C$3, 2)</f>
        <v>45.37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103.24000000000001</v>
      </c>
      <c r="O18" s="6">
        <f>TRUNC([APLICAÇÃO] * 2  * SETUP!$A$3, 2)</f>
        <v>48.31</v>
      </c>
      <c r="P18" s="6">
        <f>TRUNC([APLICAÇÃO] * 2  * SETUP!$B$3, 2)</f>
        <v>35.909999999999997</v>
      </c>
      <c r="Q18" s="6">
        <f>TRUNC([APLICAÇÃO] * 2  * SETUP!$C$3, 2)</f>
        <v>90.75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190.74</v>
      </c>
      <c r="U18" s="47">
        <f>((([APLICAÇÃO] * 2) - [TAXA VD]) - ([APLICAÇÃO] + [TAXA CP])) * 0.85</f>
        <v>55247.704999999987</v>
      </c>
      <c r="V18" s="6">
        <f>IF([LUCRO] &lt; 0, 0, ROUND([LUCRO]*80%, 2))</f>
        <v>24004.79</v>
      </c>
      <c r="W18" s="6">
        <f>[LUCRO]-[PROTEÇÃO MÊS]</f>
        <v>6001.2000000000007</v>
      </c>
      <c r="X18" s="38">
        <f>SUMPRODUCT(N([TRADE] &lt;= Tabela1[[#This Row],[TRADE]]), [PROTEÇÃO MÊS]) - [APORTE RF]</f>
        <v>245678.73</v>
      </c>
      <c r="Y18" s="6">
        <f>[TOT RF] + [REINVESTIR] + [APLICAÇÃO]</f>
        <v>316971.21000000002</v>
      </c>
      <c r="Z18" s="4">
        <f>IF(AND([PROTEÇÃO MÊS] &gt; 0, ([TOT RF] - [PROTEÇÃO MÊS]) &gt; 0), [PROTEÇÃO MÊS] / ([TOT RF] - [PROTEÇÃO MÊS]), 0)</f>
        <v>0.10828873254113677</v>
      </c>
    </row>
    <row r="19" spans="1:26">
      <c r="A19" s="1">
        <v>18</v>
      </c>
      <c r="B19" s="17">
        <v>41518</v>
      </c>
      <c r="C19" s="3"/>
      <c r="D19" s="3"/>
      <c r="E19" s="3">
        <v>35679.120000000003</v>
      </c>
      <c r="F19" s="6">
        <v>700</v>
      </c>
      <c r="G19" s="6">
        <f>SUMPRODUCT(N([TRADE] &lt;= Tabela1[[#This Row],[TRADE]]), [APORTE]) + SUMPRODUCT(N([TRADE] &lt;= Tabela1[[#This Row],[TRADE]]), [APORTE RF])</f>
        <v>11498.599999999999</v>
      </c>
      <c r="H19" s="6">
        <f>[MONTANTE] - SUMPRODUCT(N([TRADE] &lt;= Tabela1[[#This Row],[TRADE]]), [SAQUE]) + SUMPRODUCT(N([TRADE] &lt; Tabela1[[#This Row],[TRADE]]), [REINVESTIR])</f>
        <v>71992.479999999981</v>
      </c>
      <c r="I19" s="6">
        <f>TRUNC([APLICAÇÃO]  * SETUP!$A$3, 2)</f>
        <v>26.63</v>
      </c>
      <c r="J19" s="6">
        <f>TRUNC([APLICAÇÃO]  * SETUP!$B$3, 2)</f>
        <v>19.79</v>
      </c>
      <c r="K19" s="6">
        <f>TRUNC([APLICAÇÃO]  * SETUP!$C$3, 2)</f>
        <v>50.03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112.22000000000001</v>
      </c>
      <c r="O19" s="6">
        <f>TRUNC([APLICAÇÃO] * 2  * SETUP!$A$3, 2)</f>
        <v>53.27</v>
      </c>
      <c r="P19" s="6">
        <f>TRUNC([APLICAÇÃO] * 2  * SETUP!$B$3, 2)</f>
        <v>39.590000000000003</v>
      </c>
      <c r="Q19" s="6">
        <f>TRUNC([APLICAÇÃO] * 2  * SETUP!$C$3, 2)</f>
        <v>100.06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208.69000000000003</v>
      </c>
      <c r="U19" s="47">
        <f>((([APLICAÇÃO] * 2) - [TAXA VD]) - ([APLICAÇÃO] + [TAXA CP])) * 0.85</f>
        <v>60920.834499999983</v>
      </c>
      <c r="V19" s="6">
        <f>IF([LUCRO] &lt; 0, 0, ROUND([LUCRO]*80%, 2))</f>
        <v>28543.3</v>
      </c>
      <c r="W19" s="6">
        <f>[LUCRO]-[PROTEÇÃO MÊS]</f>
        <v>7135.8200000000033</v>
      </c>
      <c r="X19" s="38">
        <f>SUMPRODUCT(N([TRADE] &lt;= Tabela1[[#This Row],[TRADE]]), [PROTEÇÃO MÊS]) - [APORTE RF]</f>
        <v>274222.03000000003</v>
      </c>
      <c r="Y19" s="6">
        <f>[TOT RF] + [REINVESTIR] + [APLICAÇÃO]</f>
        <v>353350.33</v>
      </c>
      <c r="Z19" s="4">
        <f>IF(AND([PROTEÇÃO MÊS] &gt; 0, ([TOT RF] - [PROTEÇÃO MÊS]) &gt; 0), [PROTEÇÃO MÊS] / ([TOT RF] - [PROTEÇÃO MÊS]), 0)</f>
        <v>0.11618140487782558</v>
      </c>
    </row>
    <row r="20" spans="1:26">
      <c r="A20" s="1">
        <v>19</v>
      </c>
      <c r="B20" s="17">
        <v>41548</v>
      </c>
      <c r="C20" s="3"/>
      <c r="D20" s="3"/>
      <c r="E20" s="3">
        <v>42312.800000000003</v>
      </c>
      <c r="F20" s="6">
        <v>700</v>
      </c>
      <c r="G20" s="6">
        <f>SUMPRODUCT(N([TRADE] &lt;= Tabela1[[#This Row],[TRADE]]), [APORTE]) + SUMPRODUCT(N([TRADE] &lt;= Tabela1[[#This Row],[TRADE]]), [APORTE RF])</f>
        <v>12198.599999999999</v>
      </c>
      <c r="H20" s="6">
        <f>[MONTANTE] - SUMPRODUCT(N([TRADE] &lt;= Tabela1[[#This Row],[TRADE]]), [SAQUE]) + SUMPRODUCT(N([TRADE] &lt; Tabela1[[#This Row],[TRADE]]), [REINVESTIR])</f>
        <v>79828.299999999988</v>
      </c>
      <c r="I20" s="6">
        <f>TRUNC([APLICAÇÃO]  * SETUP!$A$3, 2)</f>
        <v>29.53</v>
      </c>
      <c r="J20" s="6">
        <f>TRUNC([APLICAÇÃO]  * SETUP!$B$3, 2)</f>
        <v>21.95</v>
      </c>
      <c r="K20" s="6">
        <f>TRUNC([APLICAÇÃO]  * SETUP!$C$3, 2)</f>
        <v>55.48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122.73000000000002</v>
      </c>
      <c r="O20" s="6">
        <f>TRUNC([APLICAÇÃO] * 2  * SETUP!$A$3, 2)</f>
        <v>59.07</v>
      </c>
      <c r="P20" s="6">
        <f>TRUNC([APLICAÇÃO] * 2  * SETUP!$B$3, 2)</f>
        <v>43.9</v>
      </c>
      <c r="Q20" s="6">
        <f>TRUNC([APLICAÇÃO] * 2  * SETUP!$C$3, 2)</f>
        <v>110.96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229.70000000000002</v>
      </c>
      <c r="U20" s="47">
        <f>((([APLICAÇÃO] * 2) - [TAXA VD]) - ([APLICAÇÃO] + [TAXA CP])) * 0.85</f>
        <v>67554.489499999981</v>
      </c>
      <c r="V20" s="6">
        <f>IF([LUCRO] &lt; 0, 0, ROUND([LUCRO]*80%, 2))</f>
        <v>33850.239999999998</v>
      </c>
      <c r="W20" s="6">
        <f>[LUCRO]-[PROTEÇÃO MÊS]</f>
        <v>8462.5600000000049</v>
      </c>
      <c r="X20" s="38">
        <f>SUMPRODUCT(N([TRADE] &lt;= Tabela1[[#This Row],[TRADE]]), [PROTEÇÃO MÊS]) - [APORTE RF]</f>
        <v>308072.27</v>
      </c>
      <c r="Y20" s="6">
        <f>[TOT RF] + [REINVESTIR] + [APLICAÇÃO]</f>
        <v>396363.13</v>
      </c>
      <c r="Z20" s="4">
        <f>IF(AND([PROTEÇÃO MÊS] &gt; 0, ([TOT RF] - [PROTEÇÃO MÊS]) &gt; 0), [PROTEÇÃO MÊS] / ([TOT RF] - [PROTEÇÃO MÊS]), 0)</f>
        <v>0.1234409941462398</v>
      </c>
    </row>
    <row r="21" spans="1:26">
      <c r="A21" s="1">
        <v>20</v>
      </c>
      <c r="B21" s="17">
        <v>41579</v>
      </c>
      <c r="C21" s="3"/>
      <c r="D21" s="3"/>
      <c r="E21" s="3">
        <v>50069.66</v>
      </c>
      <c r="F21" s="6">
        <v>700</v>
      </c>
      <c r="G21" s="6">
        <f>SUMPRODUCT(N([TRADE] &lt;= Tabela1[[#This Row],[TRADE]]), [APORTE]) + SUMPRODUCT(N([TRADE] &lt;= Tabela1[[#This Row],[TRADE]]), [APORTE RF])</f>
        <v>12898.599999999999</v>
      </c>
      <c r="H21" s="6">
        <f>[MONTANTE] - SUMPRODUCT(N([TRADE] &lt;= Tabela1[[#This Row],[TRADE]]), [SAQUE]) + SUMPRODUCT(N([TRADE] &lt; Tabela1[[#This Row],[TRADE]]), [REINVESTIR])</f>
        <v>88990.860000000015</v>
      </c>
      <c r="I21" s="6">
        <f>TRUNC([APLICAÇÃO]  * SETUP!$A$3, 2)</f>
        <v>32.92</v>
      </c>
      <c r="J21" s="6">
        <f>TRUNC([APLICAÇÃO]  * SETUP!$B$3, 2)</f>
        <v>24.47</v>
      </c>
      <c r="K21" s="6">
        <f>TRUNC([APLICAÇÃO]  * SETUP!$C$3, 2)</f>
        <v>61.84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135</v>
      </c>
      <c r="O21" s="6">
        <f>TRUNC([APLICAÇÃO] * 2  * SETUP!$A$3, 2)</f>
        <v>65.849999999999994</v>
      </c>
      <c r="P21" s="6">
        <f>TRUNC([APLICAÇÃO] * 2  * SETUP!$B$3, 2)</f>
        <v>48.94</v>
      </c>
      <c r="Q21" s="6">
        <f>TRUNC([APLICAÇÃO] * 2  * SETUP!$C$3, 2)</f>
        <v>123.69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254.25</v>
      </c>
      <c r="U21" s="47">
        <f>((([APLICAÇÃO] * 2) - [TAXA VD]) - ([APLICAÇÃO] + [TAXA CP])) * 0.85</f>
        <v>75311.368500000011</v>
      </c>
      <c r="V21" s="6">
        <f>IF([LUCRO] &lt; 0, 0, ROUND([LUCRO]*80%, 2))</f>
        <v>40055.730000000003</v>
      </c>
      <c r="W21" s="6">
        <f>[LUCRO]-[PROTEÇÃO MÊS]</f>
        <v>10013.93</v>
      </c>
      <c r="X21" s="38">
        <f>SUMPRODUCT(N([TRADE] &lt;= Tabela1[[#This Row],[TRADE]]), [PROTEÇÃO MÊS]) - [APORTE RF]</f>
        <v>348128</v>
      </c>
      <c r="Y21" s="6">
        <f>[TOT RF] + [REINVESTIR] + [APLICAÇÃO]</f>
        <v>447132.79000000004</v>
      </c>
      <c r="Z21" s="4">
        <f>IF(AND([PROTEÇÃO MÊS] &gt; 0, ([TOT RF] - [PROTEÇÃO MÊS]) &gt; 0), [PROTEÇÃO MÊS] / ([TOT RF] - [PROTEÇÃO MÊS]), 0)</f>
        <v>0.13002056303217424</v>
      </c>
    </row>
    <row r="22" spans="1:26">
      <c r="A22" s="1">
        <v>21</v>
      </c>
      <c r="B22" s="17">
        <v>41609</v>
      </c>
      <c r="C22" s="18"/>
      <c r="D22" s="18"/>
      <c r="E22" s="18">
        <v>59139.9</v>
      </c>
      <c r="F22" s="6">
        <v>700</v>
      </c>
      <c r="G22" s="19">
        <f>SUMPRODUCT(N([TRADE] &lt;= Tabela1[[#This Row],[TRADE]]), [APORTE]) + SUMPRODUCT(N([TRADE] &lt;= Tabela1[[#This Row],[TRADE]]), [APORTE RF])</f>
        <v>13598.599999999999</v>
      </c>
      <c r="H22" s="19">
        <f>[MONTANTE] - SUMPRODUCT(N([TRADE] &lt;= Tabela1[[#This Row],[TRADE]]), [SAQUE]) + SUMPRODUCT(N([TRADE] &lt; Tabela1[[#This Row],[TRADE]]), [REINVESTIR])</f>
        <v>99704.790000000008</v>
      </c>
      <c r="I22" s="19">
        <f>TRUNC([APLICAÇÃO]  * SETUP!$A$3, 2)</f>
        <v>36.89</v>
      </c>
      <c r="J22" s="19">
        <f>TRUNC([APLICAÇÃO]  * SETUP!$B$3, 2)</f>
        <v>27.41</v>
      </c>
      <c r="K22" s="19">
        <f>TRUNC([APLICAÇÃO]  * SETUP!$C$3, 2)</f>
        <v>69.290000000000006</v>
      </c>
      <c r="L22" s="19">
        <f>TRUNC(SETUP!$G$3  * SETUP!$H$3, 2)</f>
        <v>0.28999999999999998</v>
      </c>
      <c r="M22" s="19">
        <f>ROUND(SETUP!$G$3 * SETUP!$I$3, 2)</f>
        <v>0.57999999999999996</v>
      </c>
      <c r="N22" s="19">
        <f>SETUP!$G$3 + SUM(Tabela1[[#This Row],[EMOL CP]]:Tabela1[[#This Row],[OUTRAS CP]])</f>
        <v>149.36000000000001</v>
      </c>
      <c r="O22" s="19">
        <f>TRUNC([APLICAÇÃO] * 2  * SETUP!$A$3, 2)</f>
        <v>73.78</v>
      </c>
      <c r="P22" s="19">
        <f>TRUNC([APLICAÇÃO] * 2  * SETUP!$B$3, 2)</f>
        <v>54.83</v>
      </c>
      <c r="Q22" s="19">
        <f>TRUNC([APLICAÇÃO] * 2  * SETUP!$C$3, 2)</f>
        <v>138.58000000000001</v>
      </c>
      <c r="R22" s="19">
        <f>TRUNC(SETUP!$G$3  * SETUP!$H$3, 2)</f>
        <v>0.28999999999999998</v>
      </c>
      <c r="S22" s="19">
        <f>ROUND(SETUP!$G$3 * SETUP!$I$3, 2)</f>
        <v>0.57999999999999996</v>
      </c>
      <c r="T22" s="19">
        <f>SETUP!$G$3 + SUM(Tabela1[[#This Row],[EMOL VD]]:Tabela1[[#This Row],[OUTRAS VD]])</f>
        <v>282.96000000000004</v>
      </c>
      <c r="U22" s="48">
        <f>((([APLICAÇÃO] * 2) - [TAXA VD]) - ([APLICAÇÃO] + [TAXA CP])) * 0.85</f>
        <v>84381.599500000011</v>
      </c>
      <c r="V22" s="19">
        <f>IF([LUCRO] &lt; 0, 0, ROUND([LUCRO]*80%, 2))</f>
        <v>47311.92</v>
      </c>
      <c r="W22" s="19">
        <f>[LUCRO]-[PROTEÇÃO MÊS]</f>
        <v>11827.980000000003</v>
      </c>
      <c r="X22" s="39">
        <f>SUMPRODUCT(N([TRADE] &lt;= Tabela1[[#This Row],[TRADE]]), [PROTEÇÃO MÊS]) - [APORTE RF]</f>
        <v>395439.92</v>
      </c>
      <c r="Y22" s="19">
        <f>[TOT RF] + [REINVESTIR] + [APLICAÇÃO]</f>
        <v>506972.68999999994</v>
      </c>
      <c r="Z22" s="20">
        <f>IF(AND([PROTEÇÃO MÊS] &gt; 0, ([TOT RF] - [PROTEÇÃO MÊS]) &gt; 0), [PROTEÇÃO MÊS] / ([TOT RF] - [PROTEÇÃO MÊS]), 0)</f>
        <v>0.13590380549682876</v>
      </c>
    </row>
    <row r="23" spans="1:26">
      <c r="A23" s="1">
        <v>22</v>
      </c>
      <c r="B23" s="17">
        <v>41640</v>
      </c>
      <c r="C23" s="3"/>
      <c r="D23" s="3"/>
      <c r="E23" s="3">
        <v>69745.87</v>
      </c>
      <c r="F23" s="6">
        <v>700</v>
      </c>
      <c r="G23" s="6">
        <f>SUMPRODUCT(N([TRADE] &lt;= Tabela1[[#This Row],[TRADE]]), [APORTE]) + SUMPRODUCT(N([TRADE] &lt;= Tabela1[[#This Row],[TRADE]]), [APORTE RF])</f>
        <v>14298.599999999999</v>
      </c>
      <c r="H23" s="6">
        <f>[MONTANTE] - SUMPRODUCT(N([TRADE] &lt;= Tabela1[[#This Row],[TRADE]]), [SAQUE]) + SUMPRODUCT(N([TRADE] &lt; Tabela1[[#This Row],[TRADE]]), [REINVESTIR])</f>
        <v>112232.77000000002</v>
      </c>
      <c r="I23" s="6">
        <f>TRUNC([APLICAÇÃO]  * SETUP!$A$3, 2)</f>
        <v>41.52</v>
      </c>
      <c r="J23" s="6">
        <f>TRUNC([APLICAÇÃO]  * SETUP!$B$3, 2)</f>
        <v>30.86</v>
      </c>
      <c r="K23" s="6">
        <f>TRUNC([APLICAÇÃO]  * SETUP!$C$3, 2)</f>
        <v>78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166.15</v>
      </c>
      <c r="O23" s="6">
        <f>TRUNC([APLICAÇÃO] * 2  * SETUP!$A$3, 2)</f>
        <v>83.05</v>
      </c>
      <c r="P23" s="6">
        <f>TRUNC([APLICAÇÃO] * 2  * SETUP!$B$3, 2)</f>
        <v>61.72</v>
      </c>
      <c r="Q23" s="6">
        <f>TRUNC([APLICAÇÃO] * 2  * SETUP!$C$3, 2)</f>
        <v>156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316.53999999999996</v>
      </c>
      <c r="U23" s="47">
        <f>((([APLICAÇÃO] * 2) - [TAXA VD]) - ([APLICAÇÃO] + [TAXA CP])) * 0.85</f>
        <v>94987.568000000014</v>
      </c>
      <c r="V23" s="6">
        <f>IF([LUCRO] &lt; 0, 0, ROUND([LUCRO]*80%, 2))</f>
        <v>55796.7</v>
      </c>
      <c r="W23" s="6">
        <f>[LUCRO]-[PROTEÇÃO MÊS]</f>
        <v>13949.169999999998</v>
      </c>
      <c r="X23" s="38">
        <f>SUMPRODUCT(N([TRADE] &lt;= Tabela1[[#This Row],[TRADE]]), [PROTEÇÃO MÊS]) - [APORTE RF]</f>
        <v>451236.62</v>
      </c>
      <c r="Y23" s="6">
        <f>[TOT RF] + [REINVESTIR] + [APLICAÇÃO]</f>
        <v>577418.56000000006</v>
      </c>
      <c r="Z23" s="4">
        <f>IF(AND([PROTEÇÃO MÊS] &gt; 0, ([TOT RF] - [PROTEÇÃO MÊS]) &gt; 0), [PROTEÇÃO MÊS] / ([TOT RF] - [PROTEÇÃO MÊS]), 0)</f>
        <v>0.14110032188960589</v>
      </c>
    </row>
    <row r="24" spans="1:26">
      <c r="A24" s="1">
        <v>23</v>
      </c>
      <c r="B24" s="17">
        <v>41671</v>
      </c>
      <c r="C24" s="3"/>
      <c r="D24" s="3"/>
      <c r="E24" s="3">
        <v>82147.600000000006</v>
      </c>
      <c r="F24" s="6">
        <v>700</v>
      </c>
      <c r="G24" s="6">
        <f>SUMPRODUCT(N([TRADE] &lt;= Tabela1[[#This Row],[TRADE]]), [APORTE]) + SUMPRODUCT(N([TRADE] &lt;= Tabela1[[#This Row],[TRADE]]), [APORTE RF])</f>
        <v>14998.599999999999</v>
      </c>
      <c r="H24" s="6">
        <f>[MONTANTE] - SUMPRODUCT(N([TRADE] &lt;= Tabela1[[#This Row],[TRADE]]), [SAQUE]) + SUMPRODUCT(N([TRADE] &lt; Tabela1[[#This Row],[TRADE]]), [REINVESTIR])</f>
        <v>126881.94</v>
      </c>
      <c r="I24" s="6">
        <f>TRUNC([APLICAÇÃO]  * SETUP!$A$3, 2)</f>
        <v>46.94</v>
      </c>
      <c r="J24" s="6">
        <f>TRUNC([APLICAÇÃO]  * SETUP!$B$3, 2)</f>
        <v>34.89</v>
      </c>
      <c r="K24" s="6">
        <f>TRUNC([APLICAÇÃO]  * SETUP!$C$3, 2)</f>
        <v>88.18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185.78</v>
      </c>
      <c r="O24" s="6">
        <f>TRUNC([APLICAÇÃO] * 2  * SETUP!$A$3, 2)</f>
        <v>93.89</v>
      </c>
      <c r="P24" s="6">
        <f>TRUNC([APLICAÇÃO] * 2  * SETUP!$B$3, 2)</f>
        <v>69.78</v>
      </c>
      <c r="Q24" s="6">
        <f>TRUNC([APLICAÇÃO] * 2  * SETUP!$C$3, 2)</f>
        <v>176.36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355.8</v>
      </c>
      <c r="U24" s="47">
        <f>((([APLICAÇÃO] * 2) - [TAXA VD]) - ([APLICAÇÃO] + [TAXA CP])) * 0.85</f>
        <v>107389.30600000001</v>
      </c>
      <c r="V24" s="6">
        <f>IF([LUCRO] &lt; 0, 0, ROUND([LUCRO]*80%, 2))</f>
        <v>65718.080000000002</v>
      </c>
      <c r="W24" s="6">
        <f>[LUCRO]-[PROTEÇÃO MÊS]</f>
        <v>16429.520000000004</v>
      </c>
      <c r="X24" s="38">
        <f>SUMPRODUCT(N([TRADE] &lt;= Tabela1[[#This Row],[TRADE]]), [PROTEÇÃO MÊS]) - [APORTE RF]</f>
        <v>516954.7</v>
      </c>
      <c r="Y24" s="6">
        <f>[TOT RF] + [REINVESTIR] + [APLICAÇÃO]</f>
        <v>660266.15999999992</v>
      </c>
      <c r="Z24" s="4">
        <f>IF(AND([PROTEÇÃO MÊS] &gt; 0, ([TOT RF] - [PROTEÇÃO MÊS]) &gt; 0), [PROTEÇÃO MÊS] / ([TOT RF] - [PROTEÇÃO MÊS]), 0)</f>
        <v>0.14563995271483063</v>
      </c>
    </row>
    <row r="25" spans="1:26">
      <c r="A25" s="1">
        <v>24</v>
      </c>
      <c r="B25" s="17">
        <v>41699</v>
      </c>
      <c r="C25" s="3"/>
      <c r="D25" s="3"/>
      <c r="E25" s="3">
        <v>96649.16</v>
      </c>
      <c r="F25" s="6">
        <v>700</v>
      </c>
      <c r="G25" s="6">
        <f>SUMPRODUCT(N([TRADE] &lt;= Tabela1[[#This Row],[TRADE]]), [APORTE]) + SUMPRODUCT(N([TRADE] &lt;= Tabela1[[#This Row],[TRADE]]), [APORTE RF])</f>
        <v>15698.599999999999</v>
      </c>
      <c r="H25" s="6">
        <f>[MONTANTE] - SUMPRODUCT(N([TRADE] &lt;= Tabela1[[#This Row],[TRADE]]), [SAQUE]) + SUMPRODUCT(N([TRADE] &lt; Tabela1[[#This Row],[TRADE]]), [REINVESTIR])</f>
        <v>144011.46000000002</v>
      </c>
      <c r="I25" s="6">
        <f>TRUNC([APLICAÇÃO]  * SETUP!$A$3, 2)</f>
        <v>53.28</v>
      </c>
      <c r="J25" s="6">
        <f>TRUNC([APLICAÇÃO]  * SETUP!$B$3, 2)</f>
        <v>39.6</v>
      </c>
      <c r="K25" s="6">
        <f>TRUNC([APLICAÇÃO]  * SETUP!$C$3, 2)</f>
        <v>100.08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208.73</v>
      </c>
      <c r="O25" s="6">
        <f>TRUNC([APLICAÇÃO] * 2  * SETUP!$A$3, 2)</f>
        <v>106.56</v>
      </c>
      <c r="P25" s="6">
        <f>TRUNC([APLICAÇÃO] * 2  * SETUP!$B$3, 2)</f>
        <v>79.2</v>
      </c>
      <c r="Q25" s="6">
        <f>TRUNC([APLICAÇÃO] * 2  * SETUP!$C$3, 2)</f>
        <v>200.17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401.69999999999993</v>
      </c>
      <c r="U25" s="47">
        <f>((([APLICAÇÃO] * 2) - [TAXA VD]) - ([APLICAÇÃO] + [TAXA CP])) * 0.85</f>
        <v>121890.87549999999</v>
      </c>
      <c r="V25" s="6">
        <f>IF([LUCRO] &lt; 0, 0, ROUND([LUCRO]*80%, 2))</f>
        <v>77319.33</v>
      </c>
      <c r="W25" s="6">
        <f>[LUCRO]-[PROTEÇÃO MÊS]</f>
        <v>19329.830000000002</v>
      </c>
      <c r="X25" s="38">
        <f>SUMPRODUCT(N([TRADE] &lt;= Tabela1[[#This Row],[TRADE]]), [PROTEÇÃO MÊS]) - [APORTE RF]</f>
        <v>594274.03</v>
      </c>
      <c r="Y25" s="6">
        <f>[TOT RF] + [REINVESTIR] + [APLICAÇÃO]</f>
        <v>757615.32000000007</v>
      </c>
      <c r="Z25" s="4">
        <f>IF(AND([PROTEÇÃO MÊS] &gt; 0, ([TOT RF] - [PROTEÇÃO MÊS]) &gt; 0), [PROTEÇÃO MÊS] / ([TOT RF] - [PROTEÇÃO MÊS]), 0)</f>
        <v>0.14956693497515353</v>
      </c>
    </row>
    <row r="26" spans="1:26">
      <c r="A26" s="1">
        <v>25</v>
      </c>
      <c r="B26" s="17">
        <v>41730</v>
      </c>
      <c r="C26" s="3"/>
      <c r="D26" s="3"/>
      <c r="E26" s="3">
        <v>113606.07</v>
      </c>
      <c r="F26" s="6">
        <v>700</v>
      </c>
      <c r="G26" s="6">
        <f>SUMPRODUCT(N([TRADE] &lt;= Tabela1[[#This Row],[TRADE]]), [APORTE]) + SUMPRODUCT(N([TRADE] &lt;= Tabela1[[#This Row],[TRADE]]), [APORTE RF])</f>
        <v>16398.599999999999</v>
      </c>
      <c r="H26" s="6">
        <f>[MONTANTE] - SUMPRODUCT(N([TRADE] &lt;= Tabela1[[#This Row],[TRADE]]), [SAQUE]) + SUMPRODUCT(N([TRADE] &lt; Tabela1[[#This Row],[TRADE]]), [REINVESTIR])</f>
        <v>164041.29</v>
      </c>
      <c r="I26" s="6">
        <f>TRUNC([APLICAÇÃO]  * SETUP!$A$3, 2)</f>
        <v>60.69</v>
      </c>
      <c r="J26" s="6">
        <f>TRUNC([APLICAÇÃO]  * SETUP!$B$3, 2)</f>
        <v>45.11</v>
      </c>
      <c r="K26" s="6">
        <f>TRUNC([APLICAÇÃO]  * SETUP!$C$3, 2)</f>
        <v>114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235.57000000000002</v>
      </c>
      <c r="O26" s="6">
        <f>TRUNC([APLICAÇÃO] * 2  * SETUP!$A$3, 2)</f>
        <v>121.39</v>
      </c>
      <c r="P26" s="6">
        <f>TRUNC([APLICAÇÃO] * 2  * SETUP!$B$3, 2)</f>
        <v>90.22</v>
      </c>
      <c r="Q26" s="6">
        <f>TRUNC([APLICAÇÃO] * 2  * SETUP!$C$3, 2)</f>
        <v>228.01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455.39</v>
      </c>
      <c r="U26" s="47">
        <f>((([APLICAÇÃO] * 2) - [TAXA VD]) - ([APLICAÇÃO] + [TAXA CP])) * 0.85</f>
        <v>138847.78049999999</v>
      </c>
      <c r="V26" s="6">
        <f>IF([LUCRO] &lt; 0, 0, ROUND([LUCRO]*80%, 2))</f>
        <v>90884.86</v>
      </c>
      <c r="W26" s="6">
        <f>[LUCRO]-[PROTEÇÃO MÊS]</f>
        <v>22721.210000000006</v>
      </c>
      <c r="X26" s="38">
        <f>SUMPRODUCT(N([TRADE] &lt;= Tabela1[[#This Row],[TRADE]]), [PROTEÇÃO MÊS]) - [APORTE RF]</f>
        <v>685158.89</v>
      </c>
      <c r="Y26" s="6">
        <f>[TOT RF] + [REINVESTIR] + [APLICAÇÃO]</f>
        <v>871921.39</v>
      </c>
      <c r="Z26" s="4">
        <f>IF(AND([PROTEÇÃO MÊS] &gt; 0, ([TOT RF] - [PROTEÇÃO MÊS]) &gt; 0), [PROTEÇÃO MÊS] / ([TOT RF] - [PROTEÇÃO MÊS]), 0)</f>
        <v>0.15293426165703386</v>
      </c>
    </row>
    <row r="27" spans="1:26">
      <c r="A27" s="1">
        <v>26</v>
      </c>
      <c r="B27" s="17">
        <v>41760</v>
      </c>
      <c r="C27" s="3"/>
      <c r="D27" s="3"/>
      <c r="E27" s="3">
        <v>133434.07999999999</v>
      </c>
      <c r="F27" s="6">
        <v>700</v>
      </c>
      <c r="G27" s="6">
        <f>SUMPRODUCT(N([TRADE] &lt;= Tabela1[[#This Row],[TRADE]]), [APORTE]) + SUMPRODUCT(N([TRADE] &lt;= Tabela1[[#This Row],[TRADE]]), [APORTE RF])</f>
        <v>17098.599999999999</v>
      </c>
      <c r="H27" s="6">
        <f>[MONTANTE] - SUMPRODUCT(N([TRADE] &lt;= Tabela1[[#This Row],[TRADE]]), [SAQUE]) + SUMPRODUCT(N([TRADE] &lt; Tabela1[[#This Row],[TRADE]]), [REINVESTIR])</f>
        <v>187462.50000000003</v>
      </c>
      <c r="I27" s="6">
        <f>TRUNC([APLICAÇÃO]  * SETUP!$A$3, 2)</f>
        <v>69.36</v>
      </c>
      <c r="J27" s="6">
        <f>TRUNC([APLICAÇÃO]  * SETUP!$B$3, 2)</f>
        <v>51.55</v>
      </c>
      <c r="K27" s="6">
        <f>TRUNC([APLICAÇÃO]  * SETUP!$C$3, 2)</f>
        <v>130.28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266.95999999999998</v>
      </c>
      <c r="O27" s="6">
        <f>TRUNC([APLICAÇÃO] * 2  * SETUP!$A$3, 2)</f>
        <v>138.72</v>
      </c>
      <c r="P27" s="6">
        <f>TRUNC([APLICAÇÃO] * 2  * SETUP!$B$3, 2)</f>
        <v>103.1</v>
      </c>
      <c r="Q27" s="6">
        <f>TRUNC([APLICAÇÃO] * 2  * SETUP!$C$3, 2)</f>
        <v>260.57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518.16</v>
      </c>
      <c r="U27" s="47">
        <f>((([APLICAÇÃO] * 2) - [TAXA VD]) - ([APLICAÇÃO] + [TAXA CP])) * 0.85</f>
        <v>158675.77300000004</v>
      </c>
      <c r="V27" s="6">
        <f>IF([LUCRO] &lt; 0, 0, ROUND([LUCRO]*80%, 2))</f>
        <v>106747.26</v>
      </c>
      <c r="W27" s="6">
        <f>[LUCRO]-[PROTEÇÃO MÊS]</f>
        <v>26686.819999999992</v>
      </c>
      <c r="X27" s="38">
        <f>SUMPRODUCT(N([TRADE] &lt;= Tabela1[[#This Row],[TRADE]]), [PROTEÇÃO MÊS]) - [APORTE RF]</f>
        <v>791906.15</v>
      </c>
      <c r="Y27" s="6">
        <f>[TOT RF] + [REINVESTIR] + [APLICAÇÃO]</f>
        <v>1006055.47</v>
      </c>
      <c r="Z27" s="4">
        <f>IF(AND([PROTEÇÃO MÊS] &gt; 0, ([TOT RF] - [PROTEÇÃO MÊS]) &gt; 0), [PROTEÇÃO MÊS] / ([TOT RF] - [PROTEÇÃO MÊS]), 0)</f>
        <v>0.15579927744935193</v>
      </c>
    </row>
    <row r="28" spans="1:26">
      <c r="A28" s="1">
        <v>27</v>
      </c>
      <c r="B28" s="17">
        <v>41791</v>
      </c>
      <c r="C28" s="18"/>
      <c r="D28" s="18"/>
      <c r="E28" s="18">
        <v>156619.29</v>
      </c>
      <c r="F28" s="6">
        <v>700</v>
      </c>
      <c r="G28" s="19">
        <f>SUMPRODUCT(N([TRADE] &lt;= Tabela1[[#This Row],[TRADE]]), [APORTE]) + SUMPRODUCT(N([TRADE] &lt;= Tabela1[[#This Row],[TRADE]]), [APORTE RF])</f>
        <v>17798.599999999999</v>
      </c>
      <c r="H28" s="19">
        <f>[MONTANTE] - SUMPRODUCT(N([TRADE] &lt;= Tabela1[[#This Row],[TRADE]]), [SAQUE]) + SUMPRODUCT(N([TRADE] &lt; Tabela1[[#This Row],[TRADE]]), [REINVESTIR])</f>
        <v>214849.32000000004</v>
      </c>
      <c r="I28" s="19">
        <f>TRUNC([APLICAÇÃO]  * SETUP!$A$3, 2)</f>
        <v>79.489999999999995</v>
      </c>
      <c r="J28" s="19">
        <f>TRUNC([APLICAÇÃO]  * SETUP!$B$3, 2)</f>
        <v>59.08</v>
      </c>
      <c r="K28" s="19">
        <f>TRUNC([APLICAÇÃO]  * SETUP!$C$3, 2)</f>
        <v>149.32</v>
      </c>
      <c r="L28" s="19">
        <f>TRUNC(SETUP!$G$3  * SETUP!$H$3, 2)</f>
        <v>0.28999999999999998</v>
      </c>
      <c r="M28" s="19">
        <f>ROUND(SETUP!$G$3 * SETUP!$I$3, 2)</f>
        <v>0.57999999999999996</v>
      </c>
      <c r="N28" s="19">
        <f>SETUP!$G$3 + SUM(Tabela1[[#This Row],[EMOL CP]]:Tabela1[[#This Row],[OUTRAS CP]])</f>
        <v>303.65999999999997</v>
      </c>
      <c r="O28" s="19">
        <f>TRUNC([APLICAÇÃO] * 2  * SETUP!$A$3, 2)</f>
        <v>158.97999999999999</v>
      </c>
      <c r="P28" s="19">
        <f>TRUNC([APLICAÇÃO] * 2  * SETUP!$B$3, 2)</f>
        <v>118.16</v>
      </c>
      <c r="Q28" s="19">
        <f>TRUNC([APLICAÇÃO] * 2  * SETUP!$C$3, 2)</f>
        <v>298.64</v>
      </c>
      <c r="R28" s="19">
        <f>TRUNC(SETUP!$G$3  * SETUP!$H$3, 2)</f>
        <v>0.28999999999999998</v>
      </c>
      <c r="S28" s="19">
        <f>ROUND(SETUP!$G$3 * SETUP!$I$3, 2)</f>
        <v>0.57999999999999996</v>
      </c>
      <c r="T28" s="19">
        <f>SETUP!$G$3 + SUM(Tabela1[[#This Row],[EMOL VD]]:Tabela1[[#This Row],[OUTRAS VD]])</f>
        <v>591.54999999999995</v>
      </c>
      <c r="U28" s="48">
        <f>((([APLICAÇÃO] * 2) - [TAXA VD]) - ([APLICAÇÃO] + [TAXA CP])) * 0.85</f>
        <v>181860.99350000004</v>
      </c>
      <c r="V28" s="19">
        <f>IF([LUCRO] &lt; 0, 0, ROUND([LUCRO]*80%, 2))</f>
        <v>125295.43</v>
      </c>
      <c r="W28" s="19">
        <f>[LUCRO]-[PROTEÇÃO MÊS]</f>
        <v>31323.860000000015</v>
      </c>
      <c r="X28" s="39">
        <f>SUMPRODUCT(N([TRADE] &lt;= Tabela1[[#This Row],[TRADE]]), [PROTEÇÃO MÊS]) - [APORTE RF]</f>
        <v>917201.58000000007</v>
      </c>
      <c r="Y28" s="19">
        <f>[TOT RF] + [REINVESTIR] + [APLICAÇÃO]</f>
        <v>1163374.76</v>
      </c>
      <c r="Z28" s="20">
        <f>IF(AND([PROTEÇÃO MÊS] &gt; 0, ([TOT RF] - [PROTEÇÃO MÊS]) &gt; 0), [PROTEÇÃO MÊS] / ([TOT RF] - [PROTEÇÃO MÊS]), 0)</f>
        <v>0.15822004918133287</v>
      </c>
    </row>
    <row r="29" spans="1:26">
      <c r="A29" s="1">
        <v>28</v>
      </c>
      <c r="B29" s="17">
        <v>41821</v>
      </c>
      <c r="C29" s="18"/>
      <c r="D29" s="18"/>
      <c r="E29" s="18">
        <v>183730.14</v>
      </c>
      <c r="F29" s="6">
        <v>700</v>
      </c>
      <c r="G29" s="19">
        <f>SUMPRODUCT(N([TRADE] &lt;= Tabela1[[#This Row],[TRADE]]), [APORTE]) + SUMPRODUCT(N([TRADE] &lt;= Tabela1[[#This Row],[TRADE]]), [APORTE RF])</f>
        <v>18498.599999999999</v>
      </c>
      <c r="H29" s="19">
        <f>[MONTANTE] - SUMPRODUCT(N([TRADE] &lt;= Tabela1[[#This Row],[TRADE]]), [SAQUE]) + SUMPRODUCT(N([TRADE] &lt; Tabela1[[#This Row],[TRADE]]), [REINVESTIR])</f>
        <v>246873.18000000005</v>
      </c>
      <c r="I29" s="19">
        <f>TRUNC([APLICAÇÃO]  * SETUP!$A$3, 2)</f>
        <v>91.34</v>
      </c>
      <c r="J29" s="19">
        <f>TRUNC([APLICAÇÃO]  * SETUP!$B$3, 2)</f>
        <v>67.89</v>
      </c>
      <c r="K29" s="19">
        <f>TRUNC([APLICAÇÃO]  * SETUP!$C$3, 2)</f>
        <v>171.57</v>
      </c>
      <c r="L29" s="19">
        <f>TRUNC(SETUP!$G$3  * SETUP!$H$3, 2)</f>
        <v>0.28999999999999998</v>
      </c>
      <c r="M29" s="19">
        <f>ROUND(SETUP!$G$3 * SETUP!$I$3, 2)</f>
        <v>0.57999999999999996</v>
      </c>
      <c r="N29" s="19">
        <f>SETUP!$G$3 + SUM(Tabela1[[#This Row],[EMOL CP]]:Tabela1[[#This Row],[OUTRAS CP]])</f>
        <v>346.57</v>
      </c>
      <c r="O29" s="19">
        <f>TRUNC([APLICAÇÃO] * 2  * SETUP!$A$3, 2)</f>
        <v>182.68</v>
      </c>
      <c r="P29" s="19">
        <f>TRUNC([APLICAÇÃO] * 2  * SETUP!$B$3, 2)</f>
        <v>135.78</v>
      </c>
      <c r="Q29" s="19">
        <f>TRUNC([APLICAÇÃO] * 2  * SETUP!$C$3, 2)</f>
        <v>343.15</v>
      </c>
      <c r="R29" s="19">
        <f>TRUNC(SETUP!$G$3  * SETUP!$H$3, 2)</f>
        <v>0.28999999999999998</v>
      </c>
      <c r="S29" s="19">
        <f>ROUND(SETUP!$G$3 * SETUP!$I$3, 2)</f>
        <v>0.57999999999999996</v>
      </c>
      <c r="T29" s="19">
        <f>SETUP!$G$3 + SUM(Tabela1[[#This Row],[EMOL VD]]:Tabela1[[#This Row],[OUTRAS VD]])</f>
        <v>677.38</v>
      </c>
      <c r="U29" s="48">
        <f>((([APLICAÇÃO] * 2) - [TAXA VD]) - ([APLICAÇÃO] + [TAXA CP])) * 0.85</f>
        <v>208971.84550000002</v>
      </c>
      <c r="V29" s="19">
        <f>IF([LUCRO] &lt; 0, 0, ROUND([LUCRO]*80%, 2))</f>
        <v>146984.10999999999</v>
      </c>
      <c r="W29" s="19">
        <f>[LUCRO]-[PROTEÇÃO MÊS]</f>
        <v>36746.030000000028</v>
      </c>
      <c r="X29" s="39">
        <f>SUMPRODUCT(N([TRADE] &lt;= Tabela1[[#This Row],[TRADE]]), [PROTEÇÃO MÊS]) - [APORTE RF]</f>
        <v>1064185.69</v>
      </c>
      <c r="Y29" s="19">
        <f>[TOT RF] + [REINVESTIR] + [APLICAÇÃO]</f>
        <v>1347804.9</v>
      </c>
      <c r="Z29" s="20">
        <f>IF(AND([PROTEÇÃO MÊS] &gt; 0, ([TOT RF] - [PROTEÇÃO MÊS]) &gt; 0), [PROTEÇÃO MÊS] / ([TOT RF] - [PROTEÇÃO MÊS]), 0)</f>
        <v>0.16025278761512818</v>
      </c>
    </row>
    <row r="30" spans="1:26">
      <c r="A30" s="1">
        <v>29</v>
      </c>
      <c r="B30" s="17">
        <v>41852</v>
      </c>
      <c r="C30" s="35"/>
      <c r="D30" s="35"/>
      <c r="E30" s="35">
        <v>215431.33</v>
      </c>
      <c r="F30" s="36">
        <v>700</v>
      </c>
      <c r="G30" s="36">
        <f>SUMPRODUCT(N([TRADE] &lt;= Tabela1[[#This Row],[TRADE]]), [APORTE]) + SUMPRODUCT(N([TRADE] &lt;= Tabela1[[#This Row],[TRADE]]), [APORTE RF])</f>
        <v>19198.599999999999</v>
      </c>
      <c r="H30" s="36">
        <f>[MONTANTE] - SUMPRODUCT(N([TRADE] &lt;= Tabela1[[#This Row],[TRADE]]), [SAQUE]) + SUMPRODUCT(N([TRADE] &lt; Tabela1[[#This Row],[TRADE]]), [REINVESTIR])</f>
        <v>284319.21000000008</v>
      </c>
      <c r="I30" s="36">
        <f>TRUNC([APLICAÇÃO]  * SETUP!$A$3, 2)</f>
        <v>105.19</v>
      </c>
      <c r="J30" s="36">
        <f>TRUNC([APLICAÇÃO]  * SETUP!$B$3, 2)</f>
        <v>78.180000000000007</v>
      </c>
      <c r="K30" s="36">
        <f>TRUNC([APLICAÇÃO]  * SETUP!$C$3, 2)</f>
        <v>197.6</v>
      </c>
      <c r="L30" s="36">
        <f>TRUNC(SETUP!$G$3  * SETUP!$H$3, 2)</f>
        <v>0.28999999999999998</v>
      </c>
      <c r="M30" s="36">
        <f>ROUND(SETUP!$G$3 * SETUP!$I$3, 2)</f>
        <v>0.57999999999999996</v>
      </c>
      <c r="N30" s="36">
        <f>SETUP!$G$3 + SUM(Tabela1[[#This Row],[EMOL CP]]:Tabela1[[#This Row],[OUTRAS CP]])</f>
        <v>396.74</v>
      </c>
      <c r="O30" s="36">
        <f>TRUNC([APLICAÇÃO] * 2  * SETUP!$A$3, 2)</f>
        <v>210.39</v>
      </c>
      <c r="P30" s="36">
        <f>TRUNC([APLICAÇÃO] * 2  * SETUP!$B$3, 2)</f>
        <v>156.37</v>
      </c>
      <c r="Q30" s="36">
        <f>TRUNC([APLICAÇÃO] * 2  * SETUP!$C$3, 2)</f>
        <v>395.2</v>
      </c>
      <c r="R30" s="36">
        <f>TRUNC(SETUP!$G$3  * SETUP!$H$3, 2)</f>
        <v>0.28999999999999998</v>
      </c>
      <c r="S30" s="36">
        <f>ROUND(SETUP!$G$3 * SETUP!$I$3, 2)</f>
        <v>0.57999999999999996</v>
      </c>
      <c r="T30" s="36">
        <f>SETUP!$G$3 + SUM(Tabela1[[#This Row],[EMOL VD]]:Tabela1[[#This Row],[OUTRAS VD]])</f>
        <v>777.73</v>
      </c>
      <c r="U30" s="48">
        <f>((([APLICAÇÃO] * 2) - [TAXA VD]) - ([APLICAÇÃO] + [TAXA CP])) * 0.85</f>
        <v>240673.0290000001</v>
      </c>
      <c r="V30" s="36">
        <f>IF([LUCRO] &lt; 0, 0, ROUND([LUCRO]*80%, 2))</f>
        <v>172345.06</v>
      </c>
      <c r="W30" s="36">
        <f>[LUCRO]-[PROTEÇÃO MÊS]</f>
        <v>43086.26999999999</v>
      </c>
      <c r="X30" s="39">
        <f>SUMPRODUCT(N([TRADE] &lt;= Tabela1[[#This Row],[TRADE]]), [PROTEÇÃO MÊS]) - [APORTE RF]</f>
        <v>1236530.75</v>
      </c>
      <c r="Y30" s="36">
        <f>[TOT RF] + [REINVESTIR] + [APLICAÇÃO]</f>
        <v>1563936.23</v>
      </c>
      <c r="Z30" s="37">
        <f>IF(AND([PROTEÇÃO MÊS] &gt; 0, ([TOT RF] - [PROTEÇÃO MÊS]) &gt; 0), [PROTEÇÃO MÊS] / ([TOT RF] - [PROTEÇÃO MÊS]), 0)</f>
        <v>0.16195017619528412</v>
      </c>
    </row>
    <row r="31" spans="1:26">
      <c r="A31" s="1">
        <v>30</v>
      </c>
      <c r="B31" s="17">
        <v>41883</v>
      </c>
      <c r="C31" s="18"/>
      <c r="D31" s="18"/>
      <c r="E31" s="18">
        <v>252500.03</v>
      </c>
      <c r="F31" s="36">
        <v>700</v>
      </c>
      <c r="G31" s="19">
        <f>SUMPRODUCT(N([TRADE] &lt;= Tabela1[[#This Row],[TRADE]]), [APORTE]) + SUMPRODUCT(N([TRADE] &lt;= Tabela1[[#This Row],[TRADE]]), [APORTE RF])</f>
        <v>19898.599999999999</v>
      </c>
      <c r="H31" s="19">
        <f>[MONTANTE] - SUMPRODUCT(N([TRADE] &lt;= Tabela1[[#This Row],[TRADE]]), [SAQUE]) + SUMPRODUCT(N([TRADE] &lt; Tabela1[[#This Row],[TRADE]]), [REINVESTIR])</f>
        <v>328105.4800000001</v>
      </c>
      <c r="I31" s="19">
        <f>TRUNC([APLICAÇÃO]  * SETUP!$A$3, 2)</f>
        <v>121.39</v>
      </c>
      <c r="J31" s="19">
        <f>TRUNC([APLICAÇÃO]  * SETUP!$B$3, 2)</f>
        <v>90.22</v>
      </c>
      <c r="K31" s="19">
        <f>TRUNC([APLICAÇÃO]  * SETUP!$C$3, 2)</f>
        <v>228.03</v>
      </c>
      <c r="L31" s="19">
        <f>TRUNC(SETUP!$G$3  * SETUP!$H$3, 2)</f>
        <v>0.28999999999999998</v>
      </c>
      <c r="M31" s="19">
        <f>ROUND(SETUP!$G$3 * SETUP!$I$3, 2)</f>
        <v>0.57999999999999996</v>
      </c>
      <c r="N31" s="19">
        <f>SETUP!$G$3 + SUM(Tabela1[[#This Row],[EMOL CP]]:Tabela1[[#This Row],[OUTRAS CP]])</f>
        <v>455.40999999999997</v>
      </c>
      <c r="O31" s="19">
        <f>TRUNC([APLICAÇÃO] * 2  * SETUP!$A$3, 2)</f>
        <v>242.79</v>
      </c>
      <c r="P31" s="19">
        <f>TRUNC([APLICAÇÃO] * 2  * SETUP!$B$3, 2)</f>
        <v>180.45</v>
      </c>
      <c r="Q31" s="19">
        <f>TRUNC([APLICAÇÃO] * 2  * SETUP!$C$3, 2)</f>
        <v>456.06</v>
      </c>
      <c r="R31" s="19">
        <f>TRUNC(SETUP!$G$3  * SETUP!$H$3, 2)</f>
        <v>0.28999999999999998</v>
      </c>
      <c r="S31" s="19">
        <f>ROUND(SETUP!$G$3 * SETUP!$I$3, 2)</f>
        <v>0.57999999999999996</v>
      </c>
      <c r="T31" s="19">
        <f>SETUP!$G$3 + SUM(Tabela1[[#This Row],[EMOL VD]]:Tabela1[[#This Row],[OUTRAS VD]])</f>
        <v>895.06999999999994</v>
      </c>
      <c r="U31" s="48">
        <f>((([APLICAÇÃO] * 2) - [TAXA VD]) - ([APLICAÇÃO] + [TAXA CP])) * 0.85</f>
        <v>277741.75000000012</v>
      </c>
      <c r="V31" s="19">
        <f>IF([LUCRO] &lt; 0, 0, ROUND([LUCRO]*80%, 2))</f>
        <v>202000.02</v>
      </c>
      <c r="W31" s="19">
        <f>[LUCRO]-[PROTEÇÃO MÊS]</f>
        <v>50500.010000000009</v>
      </c>
      <c r="X31" s="39">
        <f>SUMPRODUCT(N([TRADE] &lt;= Tabela1[[#This Row],[TRADE]]), [PROTEÇÃO MÊS]) - [APORTE RF]</f>
        <v>1438530.77</v>
      </c>
      <c r="Y31" s="19">
        <f>[TOT RF] + [REINVESTIR] + [APLICAÇÃO]</f>
        <v>1817136.2600000002</v>
      </c>
      <c r="Z31" s="20">
        <f>IF(AND([PROTEÇÃO MÊS] &gt; 0, ([TOT RF] - [PROTEÇÃO MÊS]) &gt; 0), [PROTEÇÃO MÊS] / ([TOT RF] - [PROTEÇÃO MÊS]), 0)</f>
        <v>0.1633602884521877</v>
      </c>
    </row>
    <row r="32" spans="1:26" ht="15">
      <c r="A32" s="1" t="s">
        <v>35</v>
      </c>
      <c r="C32" s="15"/>
      <c r="D32" s="15"/>
      <c r="E32" s="15"/>
      <c r="F32" s="14">
        <f>SUBTOTAL(109,[APORTE])</f>
        <v>19898.599999999999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4"/>
      <c r="X32" s="40"/>
      <c r="Y32" s="14"/>
      <c r="Z32" s="43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5 Y2 F10:F31 F6:F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Y11" sqref="Y11"/>
    </sheetView>
  </sheetViews>
  <sheetFormatPr defaultRowHeight="11.25"/>
  <cols>
    <col min="1" max="1" width="7.42578125" style="1" bestFit="1" customWidth="1"/>
    <col min="2" max="2" width="10" style="21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1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29</v>
      </c>
      <c r="B1" s="23" t="s">
        <v>2</v>
      </c>
      <c r="C1" s="2" t="s">
        <v>30</v>
      </c>
      <c r="D1" s="12" t="s">
        <v>33</v>
      </c>
      <c r="E1" s="12" t="s">
        <v>1</v>
      </c>
      <c r="F1" s="2" t="s">
        <v>0</v>
      </c>
      <c r="G1" s="2" t="s">
        <v>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20</v>
      </c>
      <c r="M1" s="2" t="s">
        <v>19</v>
      </c>
      <c r="N1" s="2" t="s">
        <v>18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7</v>
      </c>
      <c r="V1" s="2" t="s">
        <v>34</v>
      </c>
      <c r="W1" s="2" t="s">
        <v>4</v>
      </c>
      <c r="X1" s="2" t="s">
        <v>8</v>
      </c>
      <c r="Y1" s="2" t="s">
        <v>31</v>
      </c>
      <c r="Z1" s="42" t="s">
        <v>36</v>
      </c>
    </row>
    <row r="2" spans="1:26">
      <c r="A2" s="1">
        <v>1</v>
      </c>
      <c r="B2" s="21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2">
        <f>SUMPRODUCT(N([TRADE] &lt;= Tabela13[[#This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1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2">
        <f>SUMPRODUCT(N([TRADE] &lt;= Tabela13[[#This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4">
        <v>3</v>
      </c>
      <c r="B4" s="21">
        <v>41061</v>
      </c>
      <c r="C4" s="25">
        <v>0</v>
      </c>
      <c r="D4" s="25">
        <v>0</v>
      </c>
      <c r="E4" s="25">
        <v>516.97</v>
      </c>
      <c r="F4" s="3">
        <v>100</v>
      </c>
      <c r="G4" s="26">
        <f>SUMPRODUCT(N([TRADE] &lt;= Tabela13[[#This Row],[TRADE]]), [APORTE]) + SUMPRODUCT(N([TRADE] &lt;= Tabela13[[#This Row],[TRADE]]), [APORTE RF])</f>
        <v>200</v>
      </c>
      <c r="H4" s="26">
        <f>[MONTANTE] - SUMPRODUCT(N([TRADE] &lt;= Tabela13[[#This Row],[TRADE]]), [SAQUE]) + SUMPRODUCT(N([TRADE] &lt; Tabela13[[#This Row],[TRADE]]), [REINVESTIR])</f>
        <v>298.31</v>
      </c>
      <c r="I4" s="26">
        <f>TRUNC([APLICAÇÃO]  * SETUP!$A$3, 2)</f>
        <v>0.11</v>
      </c>
      <c r="J4" s="26">
        <f>TRUNC([APLICAÇÃO]  * SETUP!$B$3, 2)</f>
        <v>0.08</v>
      </c>
      <c r="K4" s="26">
        <f>TRUNC([APLICAÇÃO]  * SETUP!$C$3, 2)</f>
        <v>0.2</v>
      </c>
      <c r="L4" s="26">
        <f>TRUNC(SETUP!$G$3  * SETUP!$H$3, 2)</f>
        <v>0.28999999999999998</v>
      </c>
      <c r="M4" s="26">
        <f>ROUND(SETUP!$G$3 * SETUP!$I$3, 2)</f>
        <v>0.57999999999999996</v>
      </c>
      <c r="N4" s="26">
        <f>SETUP!$G$3 + SUM(Tabela13[[#This Row],[EMOL CP]]:Tabela13[[#This Row],[OUTRAS CP]])</f>
        <v>16.16</v>
      </c>
      <c r="O4" s="26">
        <f>TRUNC([APLICAÇÃO] * 2  * SETUP!$A$3, 2)</f>
        <v>0.22</v>
      </c>
      <c r="P4" s="26">
        <f>TRUNC([APLICAÇÃO] * 2  * SETUP!$B$3, 2)</f>
        <v>0.16</v>
      </c>
      <c r="Q4" s="26">
        <f>TRUNC([APLICAÇÃO] * 2  * SETUP!$C$3, 2)</f>
        <v>0.41</v>
      </c>
      <c r="R4" s="26">
        <f>TRUNC(SETUP!$G$3  * SETUP!$H$3, 2)</f>
        <v>0.28999999999999998</v>
      </c>
      <c r="S4" s="26">
        <f>ROUND(SETUP!$G$3 * SETUP!$I$3, 2)</f>
        <v>0.57999999999999996</v>
      </c>
      <c r="T4" s="26">
        <f>SETUP!$G$3 + SUM(Tabela13[[#This Row],[EMOL VD]]:Tabela13[[#This Row],[OUTRAS VD]])</f>
        <v>16.560000000000002</v>
      </c>
      <c r="U4" s="26">
        <f>((([APLICAÇÃO] * 2) - [TAXA VD]) - ([APLICAÇÃO] + [TAXA CP])) * 0.85</f>
        <v>225.75149999999994</v>
      </c>
      <c r="V4" s="26">
        <f>IF([LUCRO] &lt; 0, 0, ROUND([LUCRO]*80%, 2))</f>
        <v>413.58</v>
      </c>
      <c r="W4" s="26">
        <f>[LUCRO]-[PROTEÇÃO MÊS]</f>
        <v>103.39000000000004</v>
      </c>
      <c r="X4" s="39">
        <f>SUMPRODUCT(N([TRADE] &lt;= Tabela13[[#This Row],[TRADE]]), [PROTEÇÃO MÊS]) - [APORTE RF]</f>
        <v>806.82999999999993</v>
      </c>
      <c r="Y4" s="26">
        <f>[TOT RF] + [REINVESTIR] + [APLICAÇÃO]</f>
        <v>1208.53</v>
      </c>
      <c r="Z4" s="20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1">
        <v>41091</v>
      </c>
      <c r="C5" s="25">
        <v>0</v>
      </c>
      <c r="D5" s="25">
        <v>0</v>
      </c>
      <c r="E5" s="18">
        <v>403.09</v>
      </c>
      <c r="F5" s="3">
        <v>100</v>
      </c>
      <c r="G5" s="19">
        <f>SUMPRODUCT(N([TRADE] &lt;= Tabela13[[#This Row],[TRADE]]), [APORTE]) + SUMPRODUCT(N([TRADE] &lt;= Tabela13[[#This Row],[TRADE]]), [APORTE RF])</f>
        <v>300</v>
      </c>
      <c r="H5" s="19">
        <f>[MONTANTE] - SUMPRODUCT(N([TRADE] &lt;= Tabela13[[#This Row],[TRADE]]), [SAQUE]) + SUMPRODUCT(N([TRADE] &lt; Tabela13[[#This Row],[TRADE]]), [REINVESTIR])</f>
        <v>501.70000000000005</v>
      </c>
      <c r="I5" s="19">
        <f>TRUNC([APLICAÇÃO]  * SETUP!$A$3, 2)</f>
        <v>0.18</v>
      </c>
      <c r="J5" s="19">
        <f>TRUNC([APLICAÇÃO]  * SETUP!$B$3, 2)</f>
        <v>0.13</v>
      </c>
      <c r="K5" s="19">
        <f>TRUNC([APLICAÇÃO]  * SETUP!$C$3, 2)</f>
        <v>0.34</v>
      </c>
      <c r="L5" s="19">
        <f>TRUNC(SETUP!$G$3  * SETUP!$H$3, 2)</f>
        <v>0.28999999999999998</v>
      </c>
      <c r="M5" s="19">
        <f>ROUND(SETUP!$G$3 * SETUP!$I$3, 2)</f>
        <v>0.57999999999999996</v>
      </c>
      <c r="N5" s="19">
        <f>SETUP!$G$3 + SUM(Tabela13[[#This Row],[EMOL CP]]:Tabela13[[#This Row],[OUTRAS CP]])</f>
        <v>16.420000000000002</v>
      </c>
      <c r="O5" s="19">
        <f>TRUNC([APLICAÇÃO] * 2  * SETUP!$A$3, 2)</f>
        <v>0.37</v>
      </c>
      <c r="P5" s="19">
        <f>TRUNC([APLICAÇÃO] * 2  * SETUP!$B$3, 2)</f>
        <v>0.27</v>
      </c>
      <c r="Q5" s="19">
        <f>TRUNC([APLICAÇÃO] * 2  * SETUP!$C$3, 2)</f>
        <v>0.69</v>
      </c>
      <c r="R5" s="19">
        <f>TRUNC(SETUP!$G$3  * SETUP!$H$3, 2)</f>
        <v>0.28999999999999998</v>
      </c>
      <c r="S5" s="19">
        <f>ROUND(SETUP!$G$3 * SETUP!$I$3, 2)</f>
        <v>0.57999999999999996</v>
      </c>
      <c r="T5" s="19">
        <f>SETUP!$G$3 + SUM(Tabela13[[#This Row],[EMOL VD]]:Tabela13[[#This Row],[OUTRAS VD]])</f>
        <v>17.100000000000001</v>
      </c>
      <c r="U5" s="19">
        <f>((([APLICAÇÃO] * 2) - [TAXA VD]) - ([APLICAÇÃO] + [TAXA CP])) * 0.85</f>
        <v>397.95300000000003</v>
      </c>
      <c r="V5" s="19">
        <f>IF([LUCRO] &lt; 0, 0, ROUND([LUCRO]*80%, 2))</f>
        <v>322.47000000000003</v>
      </c>
      <c r="W5" s="19">
        <f>[LUCRO]-[PROTEÇÃO MÊS]</f>
        <v>80.619999999999948</v>
      </c>
      <c r="X5" s="39">
        <f>SUMPRODUCT(N([TRADE] &lt;= Tabela13[[#This Row],[TRADE]]), [PROTEÇÃO MÊS]) - [APORTE RF]</f>
        <v>1129.3</v>
      </c>
      <c r="Y5" s="19">
        <f>[TOT RF] + [REINVESTIR] + [APLICAÇÃO]</f>
        <v>1711.62</v>
      </c>
      <c r="Z5" s="20">
        <f>IF(AND([PROTEÇÃO MÊS] &gt; 0, ([TOT RF] - [PROTEÇÃO MÊS]) &gt; 0), [PROTEÇÃO MÊS] / ([TOT RF] - [PROTEÇÃO MÊS]), 0)</f>
        <v>0.39967527236220773</v>
      </c>
    </row>
    <row r="6" spans="1:26">
      <c r="A6" s="24">
        <v>5</v>
      </c>
      <c r="B6" s="21">
        <v>41122</v>
      </c>
      <c r="C6" s="25">
        <v>0</v>
      </c>
      <c r="D6" s="25">
        <v>0</v>
      </c>
      <c r="E6" s="18">
        <v>550.86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440.69</v>
      </c>
      <c r="W6" s="6">
        <f>[LUCRO]-[PROTEÇÃO MÊS]</f>
        <v>110.17000000000002</v>
      </c>
      <c r="X6" s="38">
        <f>SUMPRODUCT(N([TRADE] &lt;= Tabela13[[#This Row],[TRADE]]), [PROTEÇÃO MÊS]) - [APORTE RF]</f>
        <v>1569.99</v>
      </c>
      <c r="Y6" s="6">
        <f>[TOT RF] + [REINVESTIR] + [APLICAÇÃO]</f>
        <v>2362.48</v>
      </c>
      <c r="Z6" s="4">
        <f>IF(AND([PROTEÇÃO MÊS] &gt; 0, ([TOT RF] - [PROTEÇÃO MÊS]) &gt; 0), [PROTEÇÃO MÊS] / ([TOT RF] - [PROTEÇÃO MÊS]), 0)</f>
        <v>0.39023288762950503</v>
      </c>
    </row>
    <row r="7" spans="1:26">
      <c r="A7" s="1">
        <v>6</v>
      </c>
      <c r="B7" s="21">
        <v>41153</v>
      </c>
      <c r="C7" s="25">
        <v>0</v>
      </c>
      <c r="D7" s="25">
        <v>0</v>
      </c>
      <c r="E7" s="18">
        <v>728.76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892.49</v>
      </c>
      <c r="I7" s="6">
        <f>TRUNC([APLICAÇÃO]  * SETUP!$A$3, 2)</f>
        <v>0.33</v>
      </c>
      <c r="J7" s="6">
        <f>TRUNC([APLICAÇÃO]  * SETUP!$B$3, 2)</f>
        <v>0.24</v>
      </c>
      <c r="K7" s="6">
        <f>TRUNC([APLICAÇÃO]  * SETUP!$C$3, 2)</f>
        <v>0.62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16.96</v>
      </c>
      <c r="O7" s="6">
        <f>TRUNC([APLICAÇÃO] * 2  * SETUP!$A$3, 2)</f>
        <v>0.66</v>
      </c>
      <c r="P7" s="6">
        <f>TRUNC([APLICAÇÃO] * 2  * SETUP!$B$3, 2)</f>
        <v>0.49</v>
      </c>
      <c r="Q7" s="6">
        <f>TRUNC([APLICAÇÃO] * 2  * SETUP!$C$3, 2)</f>
        <v>1.24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18.16</v>
      </c>
      <c r="U7" s="6">
        <f>((([APLICAÇÃO] * 2) - [TAXA VD]) - ([APLICAÇÃO] + [TAXA CP])) * 0.85</f>
        <v>728.76449999999988</v>
      </c>
      <c r="V7" s="6">
        <f>IF([LUCRO] &lt; 0, 0, ROUND([LUCRO]*80%, 2))</f>
        <v>583.01</v>
      </c>
      <c r="W7" s="6">
        <f>[LUCRO]-[PROTEÇÃO MÊS]</f>
        <v>145.75</v>
      </c>
      <c r="X7" s="38">
        <f>SUMPRODUCT(N([TRADE] &lt;= Tabela13[[#This Row],[TRADE]]), [PROTEÇÃO MÊS]) - [APORTE RF]</f>
        <v>2153</v>
      </c>
      <c r="Y7" s="6">
        <f>[TOT RF] + [REINVESTIR] + [APLICAÇÃO]</f>
        <v>3191.24</v>
      </c>
      <c r="Z7" s="4">
        <f>IF(AND([PROTEÇÃO MÊS] &gt; 0, ([TOT RF] - [PROTEÇÃO MÊS]) &gt; 0), [PROTEÇÃO MÊS] / ([TOT RF] - [PROTEÇÃO MÊS]), 0)</f>
        <v>0.37134631430773446</v>
      </c>
    </row>
    <row r="8" spans="1:26">
      <c r="A8" s="24">
        <v>7</v>
      </c>
      <c r="B8" s="21">
        <v>41183</v>
      </c>
      <c r="C8" s="25">
        <v>0</v>
      </c>
      <c r="D8" s="25">
        <v>0</v>
      </c>
      <c r="E8" s="18">
        <v>936.82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1138.24</v>
      </c>
      <c r="I8" s="6">
        <f>TRUNC([APLICAÇÃO]  * SETUP!$A$3, 2)</f>
        <v>0.42</v>
      </c>
      <c r="J8" s="6">
        <f>TRUNC([APLICAÇÃO]  * SETUP!$B$3, 2)</f>
        <v>0.31</v>
      </c>
      <c r="K8" s="6">
        <f>TRUNC([APLICAÇÃO]  * SETUP!$C$3, 2)</f>
        <v>0.79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17.29</v>
      </c>
      <c r="O8" s="6">
        <f>TRUNC([APLICAÇÃO] * 2  * SETUP!$A$3, 2)</f>
        <v>0.84</v>
      </c>
      <c r="P8" s="6">
        <f>TRUNC([APLICAÇÃO] * 2  * SETUP!$B$3, 2)</f>
        <v>0.62</v>
      </c>
      <c r="Q8" s="6">
        <f>TRUNC([APLICAÇÃO] * 2  * SETUP!$C$3, 2)</f>
        <v>1.58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18.810000000000002</v>
      </c>
      <c r="U8" s="6">
        <f>((([APLICAÇÃO] * 2) - [TAXA VD]) - ([APLICAÇÃO] + [TAXA CP])) * 0.85</f>
        <v>936.81900000000007</v>
      </c>
      <c r="V8" s="6">
        <f>IF([LUCRO] &lt; 0, 0, ROUND([LUCRO]*80%, 2))</f>
        <v>749.46</v>
      </c>
      <c r="W8" s="6">
        <f>[LUCRO]-[PROTEÇÃO MÊS]</f>
        <v>187.36</v>
      </c>
      <c r="X8" s="38">
        <f>SUMPRODUCT(N([TRADE] &lt;= Tabela13[[#This Row],[TRADE]]), [PROTEÇÃO MÊS]) - [APORTE RF]</f>
        <v>2902.46</v>
      </c>
      <c r="Y8" s="6">
        <f>[TOT RF] + [REINVESTIR] + [APLICAÇÃO]</f>
        <v>4228.0600000000004</v>
      </c>
      <c r="Z8" s="4">
        <f>IF(AND([PROTEÇÃO MÊS] &gt; 0, ([TOT RF] - [PROTEÇÃO MÊS]) &gt; 0), [PROTEÇÃO MÊS] / ([TOT RF] - [PROTEÇÃO MÊS]), 0)</f>
        <v>0.34810032512772876</v>
      </c>
    </row>
    <row r="9" spans="1:26">
      <c r="A9" s="1">
        <v>8</v>
      </c>
      <c r="B9" s="21">
        <v>41214</v>
      </c>
      <c r="C9" s="25">
        <v>0</v>
      </c>
      <c r="D9" s="25">
        <v>0</v>
      </c>
      <c r="E9" s="18">
        <v>1180.0999999999999</v>
      </c>
      <c r="F9" s="3">
        <v>100</v>
      </c>
      <c r="G9" s="19">
        <f>SUMPRODUCT(N([TRADE] &lt;= Tabela13[[#This Row],[TRADE]]), [APORTE]) + SUMPRODUCT(N([TRADE] &lt;= Tabela13[[#This Row],[TRADE]]), [APORTE RF])</f>
        <v>700</v>
      </c>
      <c r="H9" s="19">
        <f>[MONTANTE] - SUMPRODUCT(N([TRADE] &lt;= Tabela13[[#This Row],[TRADE]]), [SAQUE]) + SUMPRODUCT(N([TRADE] &lt; Tabela13[[#This Row],[TRADE]]), [REINVESTIR])</f>
        <v>1425.6</v>
      </c>
      <c r="I9" s="19">
        <f>TRUNC([APLICAÇÃO]  * SETUP!$A$3, 2)</f>
        <v>0.52</v>
      </c>
      <c r="J9" s="19">
        <f>TRUNC([APLICAÇÃO]  * SETUP!$B$3, 2)</f>
        <v>0.39</v>
      </c>
      <c r="K9" s="19">
        <f>TRUNC([APLICAÇÃO]  * SETUP!$C$3, 2)</f>
        <v>0.99</v>
      </c>
      <c r="L9" s="19">
        <f>TRUNC(SETUP!$G$3  * SETUP!$H$3, 2)</f>
        <v>0.28999999999999998</v>
      </c>
      <c r="M9" s="19">
        <f>ROUND(SETUP!$G$3 * SETUP!$I$3, 2)</f>
        <v>0.57999999999999996</v>
      </c>
      <c r="N9" s="19">
        <f>SETUP!$G$3 + SUM(Tabela13[[#This Row],[EMOL CP]]:Tabela13[[#This Row],[OUTRAS CP]])</f>
        <v>17.670000000000002</v>
      </c>
      <c r="O9" s="19">
        <f>TRUNC([APLICAÇÃO] * 2  * SETUP!$A$3, 2)</f>
        <v>1.05</v>
      </c>
      <c r="P9" s="19">
        <f>TRUNC([APLICAÇÃO] * 2  * SETUP!$B$3, 2)</f>
        <v>0.78</v>
      </c>
      <c r="Q9" s="19">
        <f>TRUNC([APLICAÇÃO] * 2  * SETUP!$C$3, 2)</f>
        <v>1.98</v>
      </c>
      <c r="R9" s="19">
        <f>TRUNC(SETUP!$G$3  * SETUP!$H$3, 2)</f>
        <v>0.28999999999999998</v>
      </c>
      <c r="S9" s="19">
        <f>ROUND(SETUP!$G$3 * SETUP!$I$3, 2)</f>
        <v>0.57999999999999996</v>
      </c>
      <c r="T9" s="19">
        <f>SETUP!$G$3 + SUM(Tabela13[[#This Row],[EMOL VD]]:Tabela13[[#This Row],[OUTRAS VD]])</f>
        <v>19.579999999999998</v>
      </c>
      <c r="U9" s="19">
        <f>((([APLICAÇÃO] * 2) - [TAXA VD]) - ([APLICAÇÃO] + [TAXA CP])) * 0.85</f>
        <v>1180.0974999999999</v>
      </c>
      <c r="V9" s="19">
        <f>IF([LUCRO] &lt; 0, 0, ROUND([LUCRO]*80%, 2))</f>
        <v>944.08</v>
      </c>
      <c r="W9" s="19">
        <f>[LUCRO]-[PROTEÇÃO MÊS]</f>
        <v>236.01999999999987</v>
      </c>
      <c r="X9" s="39">
        <f>SUMPRODUCT(N([TRADE] &lt;= Tabela13[[#This Row],[TRADE]]), [PROTEÇÃO MÊS]) - [APORTE RF]</f>
        <v>3846.54</v>
      </c>
      <c r="Y9" s="19">
        <f>[TOT RF] + [REINVESTIR] + [APLICAÇÃO]</f>
        <v>5508.16</v>
      </c>
      <c r="Z9" s="20">
        <f>IF(AND([PROTEÇÃO MÊS] &gt; 0, ([TOT RF] - [PROTEÇÃO MÊS]) &gt; 0), [PROTEÇÃO MÊS] / ([TOT RF] - [PROTEÇÃO MÊS]), 0)</f>
        <v>0.325268909821324</v>
      </c>
    </row>
    <row r="10" spans="1:26">
      <c r="A10" s="24">
        <v>9</v>
      </c>
      <c r="B10" s="21">
        <v>41244</v>
      </c>
      <c r="C10" s="25">
        <v>0</v>
      </c>
      <c r="D10" s="25">
        <v>0</v>
      </c>
      <c r="E10" s="18">
        <v>1464.58</v>
      </c>
      <c r="F10" s="3">
        <v>100</v>
      </c>
      <c r="G10" s="19">
        <f>SUMPRODUCT(N([TRADE] &lt;= Tabela13[[#This Row],[TRADE]]), [APORTE]) + SUMPRODUCT(N([TRADE] &lt;= Tabela13[[#This Row],[TRADE]]), [APORTE RF])</f>
        <v>800</v>
      </c>
      <c r="H10" s="19">
        <f>[MONTANTE] - SUMPRODUCT(N([TRADE] &lt;= Tabela13[[#This Row],[TRADE]]), [SAQUE]) + SUMPRODUCT(N([TRADE] &lt; Tabela13[[#This Row],[TRADE]]), [REINVESTIR])</f>
        <v>1761.62</v>
      </c>
      <c r="I10" s="19">
        <f>TRUNC([APLICAÇÃO]  * SETUP!$A$3, 2)</f>
        <v>0.65</v>
      </c>
      <c r="J10" s="19">
        <f>TRUNC([APLICAÇÃO]  * SETUP!$B$3, 2)</f>
        <v>0.48</v>
      </c>
      <c r="K10" s="19">
        <f>TRUNC([APLICAÇÃO]  * SETUP!$C$3, 2)</f>
        <v>1.22</v>
      </c>
      <c r="L10" s="19">
        <f>TRUNC(SETUP!$G$3  * SETUP!$H$3, 2)</f>
        <v>0.28999999999999998</v>
      </c>
      <c r="M10" s="19">
        <f>ROUND(SETUP!$G$3 * SETUP!$I$3, 2)</f>
        <v>0.57999999999999996</v>
      </c>
      <c r="N10" s="19">
        <f>SETUP!$G$3 + SUM(Tabela13[[#This Row],[EMOL CP]]:Tabela13[[#This Row],[OUTRAS CP]])</f>
        <v>18.12</v>
      </c>
      <c r="O10" s="19">
        <f>TRUNC([APLICAÇÃO] * 2  * SETUP!$A$3, 2)</f>
        <v>1.3</v>
      </c>
      <c r="P10" s="19">
        <f>TRUNC([APLICAÇÃO] * 2  * SETUP!$B$3, 2)</f>
        <v>0.96</v>
      </c>
      <c r="Q10" s="19">
        <f>TRUNC([APLICAÇÃO] * 2  * SETUP!$C$3, 2)</f>
        <v>2.44</v>
      </c>
      <c r="R10" s="19">
        <f>TRUNC(SETUP!$G$3  * SETUP!$H$3, 2)</f>
        <v>0.28999999999999998</v>
      </c>
      <c r="S10" s="19">
        <f>ROUND(SETUP!$G$3 * SETUP!$I$3, 2)</f>
        <v>0.57999999999999996</v>
      </c>
      <c r="T10" s="19">
        <f>SETUP!$G$3 + SUM(Tabela13[[#This Row],[EMOL VD]]:Tabela13[[#This Row],[OUTRAS VD]])</f>
        <v>20.47</v>
      </c>
      <c r="U10" s="19">
        <f>((([APLICAÇÃO] * 2) - [TAXA VD]) - ([APLICAÇÃO] + [TAXA CP])) * 0.85</f>
        <v>1464.5755000000001</v>
      </c>
      <c r="V10" s="19">
        <f>IF([LUCRO] &lt; 0, 0, ROUND([LUCRO]*80%, 2))</f>
        <v>1171.6600000000001</v>
      </c>
      <c r="W10" s="19">
        <f>[LUCRO]-[PROTEÇÃO MÊS]</f>
        <v>292.91999999999985</v>
      </c>
      <c r="X10" s="39">
        <f>SUMPRODUCT(N([TRADE] &lt;= Tabela13[[#This Row],[TRADE]]), [PROTEÇÃO MÊS]) - [APORTE RF]</f>
        <v>5018.2</v>
      </c>
      <c r="Y10" s="19">
        <f>[TOT RF] + [REINVESTIR] + [APLICAÇÃO]</f>
        <v>7072.74</v>
      </c>
      <c r="Z10" s="20">
        <f>IF(AND([PROTEÇÃO MÊS] &gt; 0, ([TOT RF] - [PROTEÇÃO MÊS]) &gt; 0), [PROTEÇÃO MÊS] / ([TOT RF] - [PROTEÇÃO MÊS]), 0)</f>
        <v>0.304601018057787</v>
      </c>
    </row>
    <row r="11" spans="1:26">
      <c r="A11" s="1">
        <v>10</v>
      </c>
      <c r="B11" s="21">
        <v>41275</v>
      </c>
      <c r="C11" s="3"/>
      <c r="D11" s="3"/>
      <c r="E11" s="3">
        <v>1797.21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2154.54</v>
      </c>
      <c r="I11" s="6">
        <f>TRUNC([APLICAÇÃO]  * SETUP!$A$3, 2)</f>
        <v>0.79</v>
      </c>
      <c r="J11" s="6">
        <f>TRUNC([APLICAÇÃO]  * SETUP!$B$3, 2)</f>
        <v>0.59</v>
      </c>
      <c r="K11" s="6">
        <f>TRUNC([APLICAÇÃO]  * SETUP!$C$3, 2)</f>
        <v>1.49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18.64</v>
      </c>
      <c r="O11" s="6">
        <f>TRUNC([APLICAÇÃO] * 2  * SETUP!$A$3, 2)</f>
        <v>1.59</v>
      </c>
      <c r="P11" s="6">
        <f>TRUNC([APLICAÇÃO] * 2  * SETUP!$B$3, 2)</f>
        <v>1.18</v>
      </c>
      <c r="Q11" s="6">
        <f>TRUNC([APLICAÇÃO] * 2  * SETUP!$C$3, 2)</f>
        <v>2.99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21.53</v>
      </c>
      <c r="U11" s="6">
        <f>((([APLICAÇÃO] * 2) - [TAXA VD]) - ([APLICAÇÃO] + [TAXA CP])) * 0.85</f>
        <v>1797.2145000000003</v>
      </c>
      <c r="V11" s="6">
        <f>IF([LUCRO] &lt; 0, 0, ROUND([LUCRO]*80%, 2))</f>
        <v>1437.77</v>
      </c>
      <c r="W11" s="6">
        <f>[LUCRO]-[PROTEÇÃO MÊS]</f>
        <v>359.44000000000005</v>
      </c>
      <c r="X11" s="38">
        <f>SUMPRODUCT(N([TRADE] &lt;= Tabela13[[#This Row],[TRADE]]), [PROTEÇÃO MÊS]) - [APORTE RF]</f>
        <v>6455.9699999999993</v>
      </c>
      <c r="Y11" s="6">
        <f>[TOT RF] + [REINVESTIR] + [APLICAÇÃO]</f>
        <v>8969.9500000000007</v>
      </c>
      <c r="Z11" s="4">
        <f>IF(AND([PROTEÇÃO MÊS] &gt; 0, ([TOT RF] - [PROTEÇÃO MÊS]) &gt; 0), [PROTEÇÃO MÊS] / ([TOT RF] - [PROTEÇÃO MÊS]), 0)</f>
        <v>0.28651109959746529</v>
      </c>
    </row>
    <row r="12" spans="1:26">
      <c r="A12" s="24">
        <v>11</v>
      </c>
      <c r="B12" s="21">
        <v>41306</v>
      </c>
      <c r="C12" s="3"/>
      <c r="D12" s="3"/>
      <c r="E12" s="3">
        <v>2186.17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2613.9799999999996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3.63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22.76</v>
      </c>
      <c r="U12" s="6">
        <f>((([APLICAÇÃO] * 2) - [TAXA VD]) - ([APLICAÇÃO] + [TAXA CP])) * 0.85</f>
        <v>2186.1744999999992</v>
      </c>
      <c r="V12" s="6">
        <f>IF([LUCRO] &lt; 0, 0, ROUND([LUCRO]*80%, 2))</f>
        <v>1748.94</v>
      </c>
      <c r="W12" s="6">
        <f>[LUCRO]-[PROTEÇÃO MÊS]</f>
        <v>437.23</v>
      </c>
      <c r="X12" s="38">
        <f>SUMPRODUCT(N([TRADE] &lt;= Tabela13[[#This Row],[TRADE]]), [PROTEÇÃO MÊS]) - [APORTE RF]</f>
        <v>8204.91</v>
      </c>
      <c r="Y12" s="6">
        <f>[TOT RF] + [REINVESTIR] + [APLICAÇÃO]</f>
        <v>11256.119999999999</v>
      </c>
      <c r="Z12" s="4">
        <f>IF(AND([PROTEÇÃO MÊS] &gt; 0, ([TOT RF] - [PROTEÇÃO MÊS]) &gt; 0), [PROTEÇÃO MÊS] / ([TOT RF] - [PROTEÇÃO MÊS]), 0)</f>
        <v>0.27090274583060336</v>
      </c>
    </row>
    <row r="13" spans="1:26">
      <c r="A13" s="1">
        <v>12</v>
      </c>
      <c r="B13" s="21">
        <v>41334</v>
      </c>
      <c r="C13" s="3"/>
      <c r="D13" s="3"/>
      <c r="E13" s="3">
        <v>2640.97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3151.21</v>
      </c>
      <c r="I13" s="6">
        <f>TRUNC([APLICAÇÃO]  * SETUP!$A$3, 2)</f>
        <v>1.1599999999999999</v>
      </c>
      <c r="J13" s="6">
        <f>TRUNC([APLICAÇÃO]  * SETUP!$B$3, 2)</f>
        <v>0.86</v>
      </c>
      <c r="K13" s="6">
        <f>TRUNC([APLICAÇÃO]  * SETUP!$C$3, 2)</f>
        <v>2.19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19.98</v>
      </c>
      <c r="O13" s="6">
        <f>TRUNC([APLICAÇÃO] * 2  * SETUP!$A$3, 2)</f>
        <v>2.33</v>
      </c>
      <c r="P13" s="6">
        <f>TRUNC([APLICAÇÃO] * 2  * SETUP!$B$3, 2)</f>
        <v>1.73</v>
      </c>
      <c r="Q13" s="6">
        <f>TRUNC([APLICAÇÃO] * 2  * SETUP!$C$3, 2)</f>
        <v>4.38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24.21</v>
      </c>
      <c r="U13" s="6">
        <f>((([APLICAÇÃO] * 2) - [TAXA VD]) - ([APLICAÇÃO] + [TAXA CP])) * 0.85</f>
        <v>2640.9670000000001</v>
      </c>
      <c r="V13" s="6">
        <f>IF([LUCRO] &lt; 0, 0, ROUND([LUCRO]*80%, 2))</f>
        <v>2112.7800000000002</v>
      </c>
      <c r="W13" s="6">
        <f>[LUCRO]-[PROTEÇÃO MÊS]</f>
        <v>528.1899999999996</v>
      </c>
      <c r="X13" s="38">
        <f>SUMPRODUCT(N([TRADE] &lt;= Tabela13[[#This Row],[TRADE]]), [PROTEÇÃO MÊS]) - [APORTE RF]</f>
        <v>10317.69</v>
      </c>
      <c r="Y13" s="6">
        <f>[TOT RF] + [REINVESTIR] + [APLICAÇÃO]</f>
        <v>13997.09</v>
      </c>
      <c r="Z13" s="4">
        <f>IF(AND([PROTEÇÃO MÊS] &gt; 0, ([TOT RF] - [PROTEÇÃO MÊS]) &gt; 0), [PROTEÇÃO MÊS] / ([TOT RF] - [PROTEÇÃO MÊS]), 0)</f>
        <v>0.25750191044143084</v>
      </c>
    </row>
    <row r="14" spans="1:26">
      <c r="A14" s="24">
        <v>13</v>
      </c>
      <c r="B14" s="21">
        <v>41365</v>
      </c>
      <c r="C14" s="3"/>
      <c r="D14" s="3"/>
      <c r="E14" s="3">
        <v>3172.8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3779.3999999999996</v>
      </c>
      <c r="I14" s="6">
        <f>TRUNC([APLICAÇÃO]  * SETUP!$A$3, 2)</f>
        <v>1.39</v>
      </c>
      <c r="J14" s="6">
        <f>TRUNC([APLICAÇÃO]  * SETUP!$B$3, 2)</f>
        <v>1.03</v>
      </c>
      <c r="K14" s="6">
        <f>TRUNC([APLICAÇÃO]  * SETUP!$C$3, 2)</f>
        <v>2.62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20.810000000000002</v>
      </c>
      <c r="O14" s="6">
        <f>TRUNC([APLICAÇÃO] * 2  * SETUP!$A$3, 2)</f>
        <v>2.79</v>
      </c>
      <c r="P14" s="6">
        <f>TRUNC([APLICAÇÃO] * 2  * SETUP!$B$3, 2)</f>
        <v>2.0699999999999998</v>
      </c>
      <c r="Q14" s="6">
        <f>TRUNC([APLICAÇÃO] * 2  * SETUP!$C$3, 2)</f>
        <v>5.25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25.88</v>
      </c>
      <c r="U14" s="6">
        <f>((([APLICAÇÃO] * 2) - [TAXA VD]) - ([APLICAÇÃO] + [TAXA CP])) * 0.85</f>
        <v>3172.8034999999995</v>
      </c>
      <c r="V14" s="6">
        <f>IF([LUCRO] &lt; 0, 0, ROUND([LUCRO]*80%, 2))</f>
        <v>2538.2399999999998</v>
      </c>
      <c r="W14" s="6">
        <f>[LUCRO]-[PROTEÇÃO MÊS]</f>
        <v>634.5600000000004</v>
      </c>
      <c r="X14" s="38">
        <f>SUMPRODUCT(N([TRADE] &lt;= Tabela13[[#This Row],[TRADE]]), [PROTEÇÃO MÊS]) - [APORTE RF]</f>
        <v>12855.93</v>
      </c>
      <c r="Y14" s="6">
        <f>[TOT RF] + [REINVESTIR] + [APLICAÇÃO]</f>
        <v>17269.89</v>
      </c>
      <c r="Z14" s="4">
        <f>IF(AND([PROTEÇÃO MÊS] &gt; 0, ([TOT RF] - [PROTEÇÃO MÊS]) &gt; 0), [PROTEÇÃO MÊS] / ([TOT RF] - [PROTEÇÃO MÊS]), 0)</f>
        <v>0.24600855424033866</v>
      </c>
    </row>
    <row r="15" spans="1:26">
      <c r="A15" s="1">
        <v>14</v>
      </c>
      <c r="B15" s="21">
        <v>41395</v>
      </c>
      <c r="C15" s="3"/>
      <c r="D15" s="3"/>
      <c r="E15" s="3">
        <v>3794.65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4513.96</v>
      </c>
      <c r="I15" s="6">
        <f>TRUNC([APLICAÇÃO]  * SETUP!$A$3, 2)</f>
        <v>1.67</v>
      </c>
      <c r="J15" s="6">
        <f>TRUNC([APLICAÇÃO]  * SETUP!$B$3, 2)</f>
        <v>1.24</v>
      </c>
      <c r="K15" s="6">
        <f>TRUNC([APLICAÇÃO]  * SETUP!$C$3, 2)</f>
        <v>3.13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21.810000000000002</v>
      </c>
      <c r="O15" s="6">
        <f>TRUNC([APLICAÇÃO] * 2  * SETUP!$A$3, 2)</f>
        <v>3.34</v>
      </c>
      <c r="P15" s="6">
        <f>TRUNC([APLICAÇÃO] * 2  * SETUP!$B$3, 2)</f>
        <v>2.48</v>
      </c>
      <c r="Q15" s="6">
        <f>TRUNC([APLICAÇÃO] * 2  * SETUP!$C$3, 2)</f>
        <v>6.27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27.86</v>
      </c>
      <c r="U15" s="6">
        <f>((([APLICAÇÃO] * 2) - [TAXA VD]) - ([APLICAÇÃO] + [TAXA CP])) * 0.85</f>
        <v>3794.6464999999989</v>
      </c>
      <c r="V15" s="6">
        <f>IF([LUCRO] &lt; 0, 0, ROUND([LUCRO]*80%, 2))</f>
        <v>3035.72</v>
      </c>
      <c r="W15" s="6">
        <f>[LUCRO]-[PROTEÇÃO MÊS]</f>
        <v>758.93000000000029</v>
      </c>
      <c r="X15" s="38">
        <f>SUMPRODUCT(N([TRADE] &lt;= Tabela13[[#This Row],[TRADE]]), [PROTEÇÃO MÊS]) - [APORTE RF]</f>
        <v>15891.65</v>
      </c>
      <c r="Y15" s="6">
        <f>[TOT RF] + [REINVESTIR] + [APLICAÇÃO]</f>
        <v>21164.54</v>
      </c>
      <c r="Z15" s="4">
        <f>IF(AND([PROTEÇÃO MÊS] &gt; 0, ([TOT RF] - [PROTEÇÃO MÊS]) &gt; 0), [PROTEÇÃO MÊS] / ([TOT RF] - [PROTEÇÃO MÊS]), 0)</f>
        <v>0.2361338308469321</v>
      </c>
    </row>
    <row r="16" spans="1:26">
      <c r="A16" s="24">
        <v>15</v>
      </c>
      <c r="B16" s="21">
        <v>41426</v>
      </c>
      <c r="C16" s="18"/>
      <c r="D16" s="18"/>
      <c r="E16" s="18">
        <v>4521.82</v>
      </c>
      <c r="F16" s="3">
        <v>100</v>
      </c>
      <c r="G16" s="19">
        <f>SUMPRODUCT(N([TRADE] &lt;= Tabela13[[#This Row],[TRADE]]), [APORTE]) + SUMPRODUCT(N([TRADE] &lt;= Tabela13[[#This Row],[TRADE]]), [APORTE RF])</f>
        <v>1400</v>
      </c>
      <c r="H16" s="19">
        <f>[MONTANTE] - SUMPRODUCT(N([TRADE] &lt;= Tabela13[[#This Row],[TRADE]]), [SAQUE]) + SUMPRODUCT(N([TRADE] &lt; Tabela13[[#This Row],[TRADE]]), [REINVESTIR])</f>
        <v>5372.89</v>
      </c>
      <c r="I16" s="19">
        <f>TRUNC([APLICAÇÃO]  * SETUP!$A$3, 2)</f>
        <v>1.98</v>
      </c>
      <c r="J16" s="19">
        <f>TRUNC([APLICAÇÃO]  * SETUP!$B$3, 2)</f>
        <v>1.47</v>
      </c>
      <c r="K16" s="19">
        <f>TRUNC([APLICAÇÃO]  * SETUP!$C$3, 2)</f>
        <v>3.73</v>
      </c>
      <c r="L16" s="19">
        <f>TRUNC(SETUP!$G$3  * SETUP!$H$3, 2)</f>
        <v>0.28999999999999998</v>
      </c>
      <c r="M16" s="19">
        <f>ROUND(SETUP!$G$3 * SETUP!$I$3, 2)</f>
        <v>0.57999999999999996</v>
      </c>
      <c r="N16" s="19">
        <f>SETUP!$G$3 + SUM(Tabela13[[#This Row],[EMOL CP]]:Tabela13[[#This Row],[OUTRAS CP]])</f>
        <v>22.95</v>
      </c>
      <c r="O16" s="19">
        <f>TRUNC([APLICAÇÃO] * 2  * SETUP!$A$3, 2)</f>
        <v>3.97</v>
      </c>
      <c r="P16" s="19">
        <f>TRUNC([APLICAÇÃO] * 2  * SETUP!$B$3, 2)</f>
        <v>2.95</v>
      </c>
      <c r="Q16" s="19">
        <f>TRUNC([APLICAÇÃO] * 2  * SETUP!$C$3, 2)</f>
        <v>7.46</v>
      </c>
      <c r="R16" s="19">
        <f>TRUNC(SETUP!$G$3  * SETUP!$H$3, 2)</f>
        <v>0.28999999999999998</v>
      </c>
      <c r="S16" s="19">
        <f>ROUND(SETUP!$G$3 * SETUP!$I$3, 2)</f>
        <v>0.57999999999999996</v>
      </c>
      <c r="T16" s="19">
        <f>SETUP!$G$3 + SUM(Tabela13[[#This Row],[EMOL VD]]:Tabela13[[#This Row],[OUTRAS VD]])</f>
        <v>30.15</v>
      </c>
      <c r="U16" s="19">
        <f>((([APLICAÇÃO] * 2) - [TAXA VD]) - ([APLICAÇÃO] + [TAXA CP])) * 0.85</f>
        <v>4521.8215000000009</v>
      </c>
      <c r="V16" s="19">
        <f>IF([LUCRO] &lt; 0, 0, ROUND([LUCRO]*80%, 2))</f>
        <v>3617.46</v>
      </c>
      <c r="W16" s="19">
        <f>[LUCRO]-[PROTEÇÃO MÊS]</f>
        <v>904.35999999999967</v>
      </c>
      <c r="X16" s="39">
        <f>SUMPRODUCT(N([TRADE] &lt;= Tabela13[[#This Row],[TRADE]]), [PROTEÇÃO MÊS]) - [APORTE RF]</f>
        <v>19509.11</v>
      </c>
      <c r="Y16" s="19">
        <f>[TOT RF] + [REINVESTIR] + [APLICAÇÃO]</f>
        <v>25786.36</v>
      </c>
      <c r="Z16" s="20">
        <f>IF(AND([PROTEÇÃO MÊS] &gt; 0, ([TOT RF] - [PROTEÇÃO MÊS]) &gt; 0), [PROTEÇÃO MÊS] / ([TOT RF] - [PROTEÇÃO MÊS]), 0)</f>
        <v>0.22763275053251233</v>
      </c>
    </row>
    <row r="17" spans="1:26">
      <c r="A17" s="1">
        <v>16</v>
      </c>
      <c r="B17" s="21">
        <v>41456</v>
      </c>
      <c r="C17" s="3"/>
      <c r="D17" s="3"/>
      <c r="E17" s="3">
        <v>5372.09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6377.25</v>
      </c>
      <c r="I17" s="6">
        <f>TRUNC([APLICAÇÃO]  * SETUP!$A$3, 2)</f>
        <v>2.35</v>
      </c>
      <c r="J17" s="6">
        <f>TRUNC([APLICAÇÃO]  * SETUP!$B$3, 2)</f>
        <v>1.75</v>
      </c>
      <c r="K17" s="6">
        <f>TRUNC([APLICAÇÃO]  * SETUP!$C$3, 2)</f>
        <v>4.43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24.299999999999997</v>
      </c>
      <c r="O17" s="6">
        <f>TRUNC([APLICAÇÃO] * 2  * SETUP!$A$3, 2)</f>
        <v>4.71</v>
      </c>
      <c r="P17" s="6">
        <f>TRUNC([APLICAÇÃO] * 2  * SETUP!$B$3, 2)</f>
        <v>3.5</v>
      </c>
      <c r="Q17" s="6">
        <f>TRUNC([APLICAÇÃO] * 2  * SETUP!$C$3, 2)</f>
        <v>8.86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32.839999999999996</v>
      </c>
      <c r="U17" s="6">
        <f>((([APLICAÇÃO] * 2) - [TAXA VD]) - ([APLICAÇÃO] + [TAXA CP])) * 0.85</f>
        <v>5372.0934999999999</v>
      </c>
      <c r="V17" s="6">
        <f>IF([LUCRO] &lt; 0, 0, ROUND([LUCRO]*80%, 2))</f>
        <v>4297.67</v>
      </c>
      <c r="W17" s="6">
        <f>[LUCRO]-[PROTEÇÃO MÊS]</f>
        <v>1074.42</v>
      </c>
      <c r="X17" s="38">
        <f>SUMPRODUCT(N([TRADE] &lt;= Tabela13[[#This Row],[TRADE]]), [PROTEÇÃO MÊS]) - [APORTE RF]</f>
        <v>23806.78</v>
      </c>
      <c r="Y17" s="6">
        <f>[TOT RF] + [REINVESTIR] + [APLICAÇÃO]</f>
        <v>31258.449999999997</v>
      </c>
      <c r="Z17" s="4">
        <f>IF(AND([PROTEÇÃO MÊS] &gt; 0, ([TOT RF] - [PROTEÇÃO MÊS]) &gt; 0), [PROTEÇÃO MÊS] / ([TOT RF] - [PROTEÇÃO MÊS]), 0)</f>
        <v>0.2202904181687427</v>
      </c>
    </row>
    <row r="18" spans="1:26">
      <c r="A18" s="24">
        <v>17</v>
      </c>
      <c r="B18" s="21">
        <v>41487</v>
      </c>
      <c r="C18" s="3"/>
      <c r="D18" s="3"/>
      <c r="E18" s="3">
        <v>6366.34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7551.67</v>
      </c>
      <c r="I18" s="6">
        <f>TRUNC([APLICAÇÃO]  * SETUP!$A$3, 2)</f>
        <v>2.79</v>
      </c>
      <c r="J18" s="6">
        <f>TRUNC([APLICAÇÃO]  * SETUP!$B$3, 2)</f>
        <v>2.0699999999999998</v>
      </c>
      <c r="K18" s="6">
        <f>TRUNC([APLICAÇÃO]  * SETUP!$C$3, 2)</f>
        <v>5.24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25.869999999999997</v>
      </c>
      <c r="O18" s="6">
        <f>TRUNC([APLICAÇÃO] * 2  * SETUP!$A$3, 2)</f>
        <v>5.58</v>
      </c>
      <c r="P18" s="6">
        <f>TRUNC([APLICAÇÃO] * 2  * SETUP!$B$3, 2)</f>
        <v>4.1500000000000004</v>
      </c>
      <c r="Q18" s="6">
        <f>TRUNC([APLICAÇÃO] * 2  * SETUP!$C$3, 2)</f>
        <v>10.49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35.989999999999995</v>
      </c>
      <c r="U18" s="6">
        <f>((([APLICAÇÃO] * 2) - [TAXA VD]) - ([APLICAÇÃO] + [TAXA CP])) * 0.85</f>
        <v>6366.3384999999998</v>
      </c>
      <c r="V18" s="6">
        <f>IF([LUCRO] &lt; 0, 0, ROUND([LUCRO]*80%, 2))</f>
        <v>5093.07</v>
      </c>
      <c r="W18" s="6">
        <f>[LUCRO]-[PROTEÇÃO MÊS]</f>
        <v>1273.2700000000004</v>
      </c>
      <c r="X18" s="38">
        <f>SUMPRODUCT(N([TRADE] &lt;= Tabela13[[#This Row],[TRADE]]), [PROTEÇÃO MÊS]) - [APORTE RF]</f>
        <v>28899.85</v>
      </c>
      <c r="Y18" s="6">
        <f>[TOT RF] + [REINVESTIR] + [APLICAÇÃO]</f>
        <v>37724.79</v>
      </c>
      <c r="Z18" s="4">
        <f>IF(AND([PROTEÇÃO MÊS] &gt; 0, ([TOT RF] - [PROTEÇÃO MÊS]) &gt; 0), [PROTEÇÃO MÊS] / ([TOT RF] - [PROTEÇÃO MÊS]), 0)</f>
        <v>0.21393359370733883</v>
      </c>
    </row>
    <row r="19" spans="1:26">
      <c r="A19" s="1">
        <v>18</v>
      </c>
      <c r="B19" s="21">
        <v>41518</v>
      </c>
      <c r="C19" s="3"/>
      <c r="D19" s="3"/>
      <c r="E19" s="3">
        <v>7528.92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8924.94</v>
      </c>
      <c r="I19" s="6">
        <f>TRUNC([APLICAÇÃO]  * SETUP!$A$3, 2)</f>
        <v>3.3</v>
      </c>
      <c r="J19" s="6">
        <f>TRUNC([APLICAÇÃO]  * SETUP!$B$3, 2)</f>
        <v>2.4500000000000002</v>
      </c>
      <c r="K19" s="6">
        <f>TRUNC([APLICAÇÃO]  * SETUP!$C$3, 2)</f>
        <v>6.2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27.72</v>
      </c>
      <c r="O19" s="6">
        <f>TRUNC([APLICAÇÃO] * 2  * SETUP!$A$3, 2)</f>
        <v>6.6</v>
      </c>
      <c r="P19" s="6">
        <f>TRUNC([APLICAÇÃO] * 2  * SETUP!$B$3, 2)</f>
        <v>4.9000000000000004</v>
      </c>
      <c r="Q19" s="6">
        <f>TRUNC([APLICAÇÃO] * 2  * SETUP!$C$3, 2)</f>
        <v>12.4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39.669999999999995</v>
      </c>
      <c r="U19" s="6">
        <f>((([APLICAÇÃO] * 2) - [TAXA VD]) - ([APLICAÇÃO] + [TAXA CP])) * 0.85</f>
        <v>7528.9175000000023</v>
      </c>
      <c r="V19" s="6">
        <f>IF([LUCRO] &lt; 0, 0, ROUND([LUCRO]*80%, 2))</f>
        <v>6023.14</v>
      </c>
      <c r="W19" s="6">
        <f>[LUCRO]-[PROTEÇÃO MÊS]</f>
        <v>1505.7799999999997</v>
      </c>
      <c r="X19" s="38">
        <f>SUMPRODUCT(N([TRADE] &lt;= Tabela13[[#This Row],[TRADE]]), [PROTEÇÃO MÊS]) - [APORTE RF]</f>
        <v>34922.99</v>
      </c>
      <c r="Y19" s="6">
        <f>[TOT RF] + [REINVESTIR] + [APLICAÇÃO]</f>
        <v>45353.71</v>
      </c>
      <c r="Z19" s="4">
        <f>IF(AND([PROTEÇÃO MÊS] &gt; 0, ([TOT RF] - [PROTEÇÃO MÊS]) &gt; 0), [PROTEÇÃO MÊS] / ([TOT RF] - [PROTEÇÃO MÊS]), 0)</f>
        <v>0.20841423052368785</v>
      </c>
    </row>
    <row r="20" spans="1:26">
      <c r="A20" s="24">
        <v>19</v>
      </c>
      <c r="B20" s="21">
        <v>41548</v>
      </c>
      <c r="C20" s="3"/>
      <c r="D20" s="3"/>
      <c r="E20" s="3">
        <v>8888.35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10530.720000000001</v>
      </c>
      <c r="I20" s="6">
        <f>TRUNC([APLICAÇÃO]  * SETUP!$A$3, 2)</f>
        <v>3.89</v>
      </c>
      <c r="J20" s="6">
        <f>TRUNC([APLICAÇÃO]  * SETUP!$B$3, 2)</f>
        <v>2.89</v>
      </c>
      <c r="K20" s="6">
        <f>TRUNC([APLICAÇÃO]  * SETUP!$C$3, 2)</f>
        <v>7.31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29.86</v>
      </c>
      <c r="O20" s="6">
        <f>TRUNC([APLICAÇÃO] * 2  * SETUP!$A$3, 2)</f>
        <v>7.79</v>
      </c>
      <c r="P20" s="6">
        <f>TRUNC([APLICAÇÃO] * 2  * SETUP!$B$3, 2)</f>
        <v>5.79</v>
      </c>
      <c r="Q20" s="6">
        <f>TRUNC([APLICAÇÃO] * 2  * SETUP!$C$3, 2)</f>
        <v>14.63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43.98</v>
      </c>
      <c r="U20" s="6">
        <f>((([APLICAÇÃO] * 2) - [TAXA VD]) - ([APLICAÇÃO] + [TAXA CP])) * 0.85</f>
        <v>8888.348</v>
      </c>
      <c r="V20" s="6">
        <f>IF([LUCRO] &lt; 0, 0, ROUND([LUCRO]*80%, 2))</f>
        <v>7110.68</v>
      </c>
      <c r="W20" s="6">
        <f>[LUCRO]-[PROTEÇÃO MÊS]</f>
        <v>1777.67</v>
      </c>
      <c r="X20" s="38">
        <f>SUMPRODUCT(N([TRADE] &lt;= Tabela13[[#This Row],[TRADE]]), [PROTEÇÃO MÊS]) - [APORTE RF]</f>
        <v>42033.67</v>
      </c>
      <c r="Y20" s="6">
        <f>[TOT RF] + [REINVESTIR] + [APLICAÇÃO]</f>
        <v>54342.06</v>
      </c>
      <c r="Z20" s="4">
        <f>IF(AND([PROTEÇÃO MÊS] &gt; 0, ([TOT RF] - [PROTEÇÃO MÊS]) &gt; 0), [PROTEÇÃO MÊS] / ([TOT RF] - [PROTEÇÃO MÊS]), 0)</f>
        <v>0.2036102865189951</v>
      </c>
    </row>
    <row r="21" spans="1:26">
      <c r="A21" s="1">
        <v>20</v>
      </c>
      <c r="B21" s="21">
        <v>41579</v>
      </c>
      <c r="C21" s="3"/>
      <c r="D21" s="3"/>
      <c r="E21" s="3">
        <v>10477.94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12408.390000000001</v>
      </c>
      <c r="I21" s="6">
        <f>TRUNC([APLICAÇÃO]  * SETUP!$A$3, 2)</f>
        <v>4.59</v>
      </c>
      <c r="J21" s="6">
        <f>TRUNC([APLICAÇÃO]  * SETUP!$B$3, 2)</f>
        <v>3.41</v>
      </c>
      <c r="K21" s="6">
        <f>TRUNC([APLICAÇÃO]  * SETUP!$C$3, 2)</f>
        <v>8.6199999999999992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32.389999999999993</v>
      </c>
      <c r="O21" s="6">
        <f>TRUNC([APLICAÇÃO] * 2  * SETUP!$A$3, 2)</f>
        <v>9.18</v>
      </c>
      <c r="P21" s="6">
        <f>TRUNC([APLICAÇÃO] * 2  * SETUP!$B$3, 2)</f>
        <v>6.82</v>
      </c>
      <c r="Q21" s="6">
        <f>TRUNC([APLICAÇÃO] * 2  * SETUP!$C$3, 2)</f>
        <v>17.239999999999998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49.009999999999991</v>
      </c>
      <c r="U21" s="6">
        <f>((([APLICAÇÃO] * 2) - [TAXA VD]) - ([APLICAÇÃO] + [TAXA CP])) * 0.85</f>
        <v>10477.941500000003</v>
      </c>
      <c r="V21" s="6">
        <f>IF([LUCRO] &lt; 0, 0, ROUND([LUCRO]*80%, 2))</f>
        <v>8382.35</v>
      </c>
      <c r="W21" s="6">
        <f>[LUCRO]-[PROTEÇÃO MÊS]</f>
        <v>2095.59</v>
      </c>
      <c r="X21" s="38">
        <f>SUMPRODUCT(N([TRADE] &lt;= Tabela13[[#This Row],[TRADE]]), [PROTEÇÃO MÊS]) - [APORTE RF]</f>
        <v>50416.02</v>
      </c>
      <c r="Y21" s="6">
        <f>[TOT RF] + [REINVESTIR] + [APLICAÇÃO]</f>
        <v>64920</v>
      </c>
      <c r="Z21" s="4">
        <f>IF(AND([PROTEÇÃO MÊS] &gt; 0, ([TOT RF] - [PROTEÇÃO MÊS]) &gt; 0), [PROTEÇÃO MÊS] / ([TOT RF] - [PROTEÇÃO MÊS]), 0)</f>
        <v>0.19941989362337384</v>
      </c>
    </row>
    <row r="22" spans="1:26">
      <c r="A22" s="24">
        <v>21</v>
      </c>
      <c r="B22" s="21">
        <v>41609</v>
      </c>
      <c r="C22" s="18"/>
      <c r="D22" s="18"/>
      <c r="E22" s="18">
        <v>12336.7</v>
      </c>
      <c r="F22" s="3">
        <v>100</v>
      </c>
      <c r="G22" s="19">
        <f>SUMPRODUCT(N([TRADE] &lt;= Tabela13[[#This Row],[TRADE]]), [APORTE]) + SUMPRODUCT(N([TRADE] &lt;= Tabela13[[#This Row],[TRADE]]), [APORTE RF])</f>
        <v>2000</v>
      </c>
      <c r="H22" s="19">
        <f>[MONTANTE] - SUMPRODUCT(N([TRADE] &lt;= Tabela13[[#This Row],[TRADE]]), [SAQUE]) + SUMPRODUCT(N([TRADE] &lt; Tabela13[[#This Row],[TRADE]]), [REINVESTIR])</f>
        <v>14603.980000000001</v>
      </c>
      <c r="I22" s="19">
        <f>TRUNC([APLICAÇÃO]  * SETUP!$A$3, 2)</f>
        <v>5.4</v>
      </c>
      <c r="J22" s="19">
        <f>TRUNC([APLICAÇÃO]  * SETUP!$B$3, 2)</f>
        <v>4.01</v>
      </c>
      <c r="K22" s="19">
        <f>TRUNC([APLICAÇÃO]  * SETUP!$C$3, 2)</f>
        <v>10.14</v>
      </c>
      <c r="L22" s="19">
        <f>TRUNC(SETUP!$G$3  * SETUP!$H$3, 2)</f>
        <v>0.28999999999999998</v>
      </c>
      <c r="M22" s="19">
        <f>ROUND(SETUP!$G$3 * SETUP!$I$3, 2)</f>
        <v>0.57999999999999996</v>
      </c>
      <c r="N22" s="19">
        <f>SETUP!$G$3 + SUM(Tabela13[[#This Row],[EMOL CP]]:Tabela13[[#This Row],[OUTRAS CP]])</f>
        <v>35.32</v>
      </c>
      <c r="O22" s="19">
        <f>TRUNC([APLICAÇÃO] * 2  * SETUP!$A$3, 2)</f>
        <v>10.8</v>
      </c>
      <c r="P22" s="19">
        <f>TRUNC([APLICAÇÃO] * 2  * SETUP!$B$3, 2)</f>
        <v>8.0299999999999994</v>
      </c>
      <c r="Q22" s="19">
        <f>TRUNC([APLICAÇÃO] * 2  * SETUP!$C$3, 2)</f>
        <v>20.29</v>
      </c>
      <c r="R22" s="19">
        <f>TRUNC(SETUP!$G$3  * SETUP!$H$3, 2)</f>
        <v>0.28999999999999998</v>
      </c>
      <c r="S22" s="19">
        <f>ROUND(SETUP!$G$3 * SETUP!$I$3, 2)</f>
        <v>0.57999999999999996</v>
      </c>
      <c r="T22" s="19">
        <f>SETUP!$G$3 + SUM(Tabela13[[#This Row],[EMOL VD]]:Tabela13[[#This Row],[OUTRAS VD]])</f>
        <v>54.889999999999993</v>
      </c>
      <c r="U22" s="19">
        <f>((([APLICAÇÃO] * 2) - [TAXA VD]) - ([APLICAÇÃO] + [TAXA CP])) * 0.85</f>
        <v>12336.704500000002</v>
      </c>
      <c r="V22" s="19">
        <f>IF([LUCRO] &lt; 0, 0, ROUND([LUCRO]*80%, 2))</f>
        <v>9869.36</v>
      </c>
      <c r="W22" s="19">
        <f>[LUCRO]-[PROTEÇÃO MÊS]</f>
        <v>2467.34</v>
      </c>
      <c r="X22" s="39">
        <f>SUMPRODUCT(N([TRADE] &lt;= Tabela13[[#This Row],[TRADE]]), [PROTEÇÃO MÊS]) - [APORTE RF]</f>
        <v>60285.38</v>
      </c>
      <c r="Y22" s="19">
        <f>[TOT RF] + [REINVESTIR] + [APLICAÇÃO]</f>
        <v>77356.7</v>
      </c>
      <c r="Z22" s="20">
        <f>IF(AND([PROTEÇÃO MÊS] &gt; 0, ([TOT RF] - [PROTEÇÃO MÊS]) &gt; 0), [PROTEÇÃO MÊS] / ([TOT RF] - [PROTEÇÃO MÊS]), 0)</f>
        <v>0.19575841171119818</v>
      </c>
    </row>
    <row r="23" spans="1:26">
      <c r="A23" s="1">
        <v>22</v>
      </c>
      <c r="B23" s="21">
        <v>41640</v>
      </c>
      <c r="C23" s="3"/>
      <c r="D23" s="3"/>
      <c r="E23" s="3">
        <v>14510.16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17171.32</v>
      </c>
      <c r="I23" s="6">
        <f>TRUNC([APLICAÇÃO]  * SETUP!$A$3, 2)</f>
        <v>6.35</v>
      </c>
      <c r="J23" s="6">
        <f>TRUNC([APLICAÇÃO]  * SETUP!$B$3, 2)</f>
        <v>4.72</v>
      </c>
      <c r="K23" s="6">
        <f>TRUNC([APLICAÇÃO]  * SETUP!$C$3, 2)</f>
        <v>11.93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38.769999999999996</v>
      </c>
      <c r="O23" s="6">
        <f>TRUNC([APLICAÇÃO] * 2  * SETUP!$A$3, 2)</f>
        <v>12.7</v>
      </c>
      <c r="P23" s="6">
        <f>TRUNC([APLICAÇÃO] * 2  * SETUP!$B$3, 2)</f>
        <v>9.44</v>
      </c>
      <c r="Q23" s="6">
        <f>TRUNC([APLICAÇÃO] * 2  * SETUP!$C$3, 2)</f>
        <v>23.86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61.769999999999996</v>
      </c>
      <c r="U23" s="6">
        <f>((([APLICAÇÃO] * 2) - [TAXA VD]) - ([APLICAÇÃO] + [TAXA CP])) * 0.85</f>
        <v>14510.163000000002</v>
      </c>
      <c r="V23" s="6">
        <f>IF([LUCRO] &lt; 0, 0, ROUND([LUCRO]*80%, 2))</f>
        <v>11608.13</v>
      </c>
      <c r="W23" s="6">
        <f>[LUCRO]-[PROTEÇÃO MÊS]</f>
        <v>2902.0300000000007</v>
      </c>
      <c r="X23" s="38">
        <f>SUMPRODUCT(N([TRADE] &lt;= Tabela13[[#This Row],[TRADE]]), [PROTEÇÃO MÊS]) - [APORTE RF]</f>
        <v>71893.509999999995</v>
      </c>
      <c r="Y23" s="6">
        <f>[TOT RF] + [REINVESTIR] + [APLICAÇÃO]</f>
        <v>91966.859999999986</v>
      </c>
      <c r="Z23" s="4">
        <f>IF(AND([PROTEÇÃO MÊS] &gt; 0, ([TOT RF] - [PROTEÇÃO MÊS]) &gt; 0), [PROTEÇÃO MÊS] / ([TOT RF] - [PROTEÇÃO MÊS]), 0)</f>
        <v>0.19255298714215618</v>
      </c>
    </row>
    <row r="24" spans="1:26">
      <c r="A24" s="24">
        <v>23</v>
      </c>
      <c r="B24" s="21">
        <v>41671</v>
      </c>
      <c r="C24" s="3"/>
      <c r="D24" s="3"/>
      <c r="E24" s="3">
        <v>17051.63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20173.350000000002</v>
      </c>
      <c r="I24" s="6">
        <f>TRUNC([APLICAÇÃO]  * SETUP!$A$3, 2)</f>
        <v>7.46</v>
      </c>
      <c r="J24" s="6">
        <f>TRUNC([APLICAÇÃO]  * SETUP!$B$3, 2)</f>
        <v>5.54</v>
      </c>
      <c r="K24" s="6">
        <f>TRUNC([APLICAÇÃO]  * SETUP!$C$3, 2)</f>
        <v>14.02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42.79</v>
      </c>
      <c r="O24" s="6">
        <f>TRUNC([APLICAÇÃO] * 2  * SETUP!$A$3, 2)</f>
        <v>14.92</v>
      </c>
      <c r="P24" s="6">
        <f>TRUNC([APLICAÇÃO] * 2  * SETUP!$B$3, 2)</f>
        <v>11.09</v>
      </c>
      <c r="Q24" s="6">
        <f>TRUNC([APLICAÇÃO] * 2  * SETUP!$C$3, 2)</f>
        <v>28.04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69.819999999999993</v>
      </c>
      <c r="U24" s="6">
        <f>((([APLICAÇÃO] * 2) - [TAXA VD]) - ([APLICAÇÃO] + [TAXA CP])) * 0.85</f>
        <v>17051.629000000001</v>
      </c>
      <c r="V24" s="6">
        <f>IF([LUCRO] &lt; 0, 0, ROUND([LUCRO]*80%, 2))</f>
        <v>13641.3</v>
      </c>
      <c r="W24" s="6">
        <f>[LUCRO]-[PROTEÇÃO MÊS]</f>
        <v>3410.3300000000017</v>
      </c>
      <c r="X24" s="38">
        <f>SUMPRODUCT(N([TRADE] &lt;= Tabela13[[#This Row],[TRADE]]), [PROTEÇÃO MÊS]) - [APORTE RF]</f>
        <v>85534.81</v>
      </c>
      <c r="Y24" s="6">
        <f>[TOT RF] + [REINVESTIR] + [APLICAÇÃO]</f>
        <v>109118.49</v>
      </c>
      <c r="Z24" s="4">
        <f>IF(AND([PROTEÇÃO MÊS] &gt; 0, ([TOT RF] - [PROTEÇÃO MÊS]) &gt; 0), [PROTEÇÃO MÊS] / ([TOT RF] - [PROTEÇÃO MÊS]), 0)</f>
        <v>0.1897431353678517</v>
      </c>
    </row>
    <row r="25" spans="1:26">
      <c r="A25" s="1">
        <v>24</v>
      </c>
      <c r="B25" s="21">
        <v>41699</v>
      </c>
      <c r="C25" s="3"/>
      <c r="D25" s="3"/>
      <c r="E25" s="3">
        <v>20023.41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23683.680000000004</v>
      </c>
      <c r="I25" s="6">
        <f>TRUNC([APLICAÇÃO]  * SETUP!$A$3, 2)</f>
        <v>8.76</v>
      </c>
      <c r="J25" s="6">
        <f>TRUNC([APLICAÇÃO]  * SETUP!$B$3, 2)</f>
        <v>6.51</v>
      </c>
      <c r="K25" s="6">
        <f>TRUNC([APLICAÇÃO]  * SETUP!$C$3, 2)</f>
        <v>16.46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47.5</v>
      </c>
      <c r="O25" s="6">
        <f>TRUNC([APLICAÇÃO] * 2  * SETUP!$A$3, 2)</f>
        <v>17.52</v>
      </c>
      <c r="P25" s="6">
        <f>TRUNC([APLICAÇÃO] * 2  * SETUP!$B$3, 2)</f>
        <v>13.02</v>
      </c>
      <c r="Q25" s="6">
        <f>TRUNC([APLICAÇÃO] * 2  * SETUP!$C$3, 2)</f>
        <v>32.92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79.23</v>
      </c>
      <c r="U25" s="6">
        <f>((([APLICAÇÃO] * 2) - [TAXA VD]) - ([APLICAÇÃO] + [TAXA CP])) * 0.85</f>
        <v>20023.407500000001</v>
      </c>
      <c r="V25" s="6">
        <f>IF([LUCRO] &lt; 0, 0, ROUND([LUCRO]*80%, 2))</f>
        <v>16018.73</v>
      </c>
      <c r="W25" s="6">
        <f>[LUCRO]-[PROTEÇÃO MÊS]</f>
        <v>4004.6800000000003</v>
      </c>
      <c r="X25" s="38">
        <f>SUMPRODUCT(N([TRADE] &lt;= Tabela13[[#This Row],[TRADE]]), [PROTEÇÃO MÊS]) - [APORTE RF]</f>
        <v>101553.54</v>
      </c>
      <c r="Y25" s="6">
        <f>[TOT RF] + [REINVESTIR] + [APLICAÇÃO]</f>
        <v>129241.90000000001</v>
      </c>
      <c r="Z25" s="4">
        <f>IF(AND([PROTEÇÃO MÊS] &gt; 0, ([TOT RF] - [PROTEÇÃO MÊS]) &gt; 0), [PROTEÇÃO MÊS] / ([TOT RF] - [PROTEÇÃO MÊS]), 0)</f>
        <v>0.18727732019279636</v>
      </c>
    </row>
    <row r="26" spans="1:26">
      <c r="A26" s="24">
        <v>25</v>
      </c>
      <c r="B26" s="21">
        <v>41730</v>
      </c>
      <c r="C26" s="3"/>
      <c r="D26" s="3"/>
      <c r="E26" s="3">
        <v>23498.36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27788.360000000004</v>
      </c>
      <c r="I26" s="6">
        <f>TRUNC([APLICAÇÃO]  * SETUP!$A$3, 2)</f>
        <v>10.28</v>
      </c>
      <c r="J26" s="6">
        <f>TRUNC([APLICAÇÃO]  * SETUP!$B$3, 2)</f>
        <v>7.64</v>
      </c>
      <c r="K26" s="6">
        <f>TRUNC([APLICAÇÃO]  * SETUP!$C$3, 2)</f>
        <v>19.309999999999999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52.999999999999993</v>
      </c>
      <c r="O26" s="6">
        <f>TRUNC([APLICAÇÃO] * 2  * SETUP!$A$3, 2)</f>
        <v>20.56</v>
      </c>
      <c r="P26" s="6">
        <f>TRUNC([APLICAÇÃO] * 2  * SETUP!$B$3, 2)</f>
        <v>15.28</v>
      </c>
      <c r="Q26" s="6">
        <f>TRUNC([APLICAÇÃO] * 2  * SETUP!$C$3, 2)</f>
        <v>38.619999999999997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90.23</v>
      </c>
      <c r="U26" s="6">
        <f>((([APLICAÇÃO] * 2) - [TAXA VD]) - ([APLICAÇÃO] + [TAXA CP])) * 0.85</f>
        <v>23498.360499999999</v>
      </c>
      <c r="V26" s="6">
        <f>IF([LUCRO] &lt; 0, 0, ROUND([LUCRO]*80%, 2))</f>
        <v>18798.689999999999</v>
      </c>
      <c r="W26" s="6">
        <f>[LUCRO]-[PROTEÇÃO MÊS]</f>
        <v>4699.6700000000019</v>
      </c>
      <c r="X26" s="38">
        <f>SUMPRODUCT(N([TRADE] &lt;= Tabela13[[#This Row],[TRADE]]), [PROTEÇÃO MÊS]) - [APORTE RF]</f>
        <v>120352.23</v>
      </c>
      <c r="Y26" s="6">
        <f>[TOT RF] + [REINVESTIR] + [APLICAÇÃO]</f>
        <v>152840.26</v>
      </c>
      <c r="Z26" s="4">
        <f>IF(AND([PROTEÇÃO MÊS] &gt; 0, ([TOT RF] - [PROTEÇÃO MÊS]) &gt; 0), [PROTEÇÃO MÊS] / ([TOT RF] - [PROTEÇÃO MÊS]), 0)</f>
        <v>0.18511112463435545</v>
      </c>
    </row>
    <row r="27" spans="1:26">
      <c r="A27" s="1">
        <v>26</v>
      </c>
      <c r="B27" s="21">
        <v>41760</v>
      </c>
      <c r="C27" s="3"/>
      <c r="D27" s="3"/>
      <c r="E27" s="3">
        <v>27561.69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32588.030000000006</v>
      </c>
      <c r="I27" s="6">
        <f>TRUNC([APLICAÇÃO]  * SETUP!$A$3, 2)</f>
        <v>12.05</v>
      </c>
      <c r="J27" s="6">
        <f>TRUNC([APLICAÇÃO]  * SETUP!$B$3, 2)</f>
        <v>8.9600000000000009</v>
      </c>
      <c r="K27" s="6">
        <f>TRUNC([APLICAÇÃO]  * SETUP!$C$3, 2)</f>
        <v>22.64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59.42</v>
      </c>
      <c r="O27" s="6">
        <f>TRUNC([APLICAÇÃO] * 2  * SETUP!$A$3, 2)</f>
        <v>24.11</v>
      </c>
      <c r="P27" s="6">
        <f>TRUNC([APLICAÇÃO] * 2  * SETUP!$B$3, 2)</f>
        <v>17.920000000000002</v>
      </c>
      <c r="Q27" s="6">
        <f>TRUNC([APLICAÇÃO] * 2  * SETUP!$C$3, 2)</f>
        <v>45.29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103.09</v>
      </c>
      <c r="U27" s="6">
        <f>((([APLICAÇÃO] * 2) - [TAXA VD]) - ([APLICAÇÃO] + [TAXA CP])) * 0.85</f>
        <v>27561.69200000001</v>
      </c>
      <c r="V27" s="6">
        <f>IF([LUCRO] &lt; 0, 0, ROUND([LUCRO]*80%, 2))</f>
        <v>22049.35</v>
      </c>
      <c r="W27" s="6">
        <f>[LUCRO]-[PROTEÇÃO MÊS]</f>
        <v>5512.34</v>
      </c>
      <c r="X27" s="38">
        <f>SUMPRODUCT(N([TRADE] &lt;= Tabela13[[#This Row],[TRADE]]), [PROTEÇÃO MÊS]) - [APORTE RF]</f>
        <v>142401.57999999999</v>
      </c>
      <c r="Y27" s="6">
        <f>[TOT RF] + [REINVESTIR] + [APLICAÇÃO]</f>
        <v>180501.94999999998</v>
      </c>
      <c r="Z27" s="4">
        <f>IF(AND([PROTEÇÃO MÊS] &gt; 0, ([TOT RF] - [PROTEÇÃO MÊS]) &gt; 0), [PROTEÇÃO MÊS] / ([TOT RF] - [PROTEÇÃO MÊS]), 0)</f>
        <v>0.18320682549878803</v>
      </c>
    </row>
    <row r="28" spans="1:26">
      <c r="A28" s="24">
        <v>27</v>
      </c>
      <c r="B28" s="21">
        <v>41791</v>
      </c>
      <c r="C28" s="3"/>
      <c r="D28" s="3"/>
      <c r="E28" s="3">
        <v>32313.01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38200.37000000001</v>
      </c>
      <c r="I28" s="6">
        <f>TRUNC([APLICAÇÃO]  * SETUP!$A$3, 2)</f>
        <v>14.13</v>
      </c>
      <c r="J28" s="6">
        <f>TRUNC([APLICAÇÃO]  * SETUP!$B$3, 2)</f>
        <v>10.5</v>
      </c>
      <c r="K28" s="6">
        <f>TRUNC([APLICAÇÃO]  * SETUP!$C$3, 2)</f>
        <v>26.54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66.94</v>
      </c>
      <c r="O28" s="6">
        <f>TRUNC([APLICAÇÃO] * 2  * SETUP!$A$3, 2)</f>
        <v>28.26</v>
      </c>
      <c r="P28" s="6">
        <f>TRUNC([APLICAÇÃO] * 2  * SETUP!$B$3, 2)</f>
        <v>21.01</v>
      </c>
      <c r="Q28" s="6">
        <f>TRUNC([APLICAÇÃO] * 2  * SETUP!$C$3, 2)</f>
        <v>53.09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118.13000000000002</v>
      </c>
      <c r="U28" s="6">
        <f>((([APLICAÇÃO] * 2) - [TAXA VD]) - ([APLICAÇÃO] + [TAXA CP])) * 0.85</f>
        <v>32313.005000000001</v>
      </c>
      <c r="V28" s="6">
        <f>IF([LUCRO] &lt; 0, 0, ROUND([LUCRO]*80%, 2))</f>
        <v>25850.41</v>
      </c>
      <c r="W28" s="6">
        <f>[LUCRO]-[PROTEÇÃO MÊS]</f>
        <v>6462.5999999999985</v>
      </c>
      <c r="X28" s="38">
        <f>SUMPRODUCT(N([TRADE] &lt;= Tabela13[[#This Row],[TRADE]]), [PROTEÇÃO MÊS]) - [APORTE RF]</f>
        <v>168251.99</v>
      </c>
      <c r="Y28" s="6">
        <f>[TOT RF] + [REINVESTIR] + [APLICAÇÃO]</f>
        <v>212914.96000000002</v>
      </c>
      <c r="Z28" s="4">
        <f>IF(AND([PROTEÇÃO MÊS] &gt; 0, ([TOT RF] - [PROTEÇÃO MÊS]) &gt; 0), [PROTEÇÃO MÊS] / ([TOT RF] - [PROTEÇÃO MÊS]), 0)</f>
        <v>0.18153176390318143</v>
      </c>
    </row>
    <row r="29" spans="1:26">
      <c r="A29" s="1">
        <v>28</v>
      </c>
      <c r="B29" s="21">
        <v>41821</v>
      </c>
      <c r="C29" s="3"/>
      <c r="D29" s="3"/>
      <c r="E29" s="3">
        <v>37868.78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44762.970000000008</v>
      </c>
      <c r="I29" s="6">
        <f>TRUNC([APLICAÇÃO]  * SETUP!$A$3, 2)</f>
        <v>16.559999999999999</v>
      </c>
      <c r="J29" s="6">
        <f>TRUNC([APLICAÇÃO]  * SETUP!$B$3, 2)</f>
        <v>12.3</v>
      </c>
      <c r="K29" s="6">
        <f>TRUNC([APLICAÇÃO]  * SETUP!$C$3, 2)</f>
        <v>31.11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75.739999999999995</v>
      </c>
      <c r="O29" s="6">
        <f>TRUNC([APLICAÇÃO] * 2  * SETUP!$A$3, 2)</f>
        <v>33.119999999999997</v>
      </c>
      <c r="P29" s="6">
        <f>TRUNC([APLICAÇÃO] * 2  * SETUP!$B$3, 2)</f>
        <v>24.61</v>
      </c>
      <c r="Q29" s="6">
        <f>TRUNC([APLICAÇÃO] * 2  * SETUP!$C$3, 2)</f>
        <v>62.22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135.72</v>
      </c>
      <c r="U29" s="6">
        <f>((([APLICAÇÃO] * 2) - [TAXA VD]) - ([APLICAÇÃO] + [TAXA CP])) * 0.85</f>
        <v>37868.783500000005</v>
      </c>
      <c r="V29" s="6">
        <f>IF([LUCRO] &lt; 0, 0, ROUND([LUCRO]*80%, 2))</f>
        <v>30295.02</v>
      </c>
      <c r="W29" s="6">
        <f>[LUCRO]-[PROTEÇÃO MÊS]</f>
        <v>7573.7599999999984</v>
      </c>
      <c r="X29" s="38">
        <f>SUMPRODUCT(N([TRADE] &lt;= Tabela13[[#This Row],[TRADE]]), [PROTEÇÃO MÊS]) - [APORTE RF]</f>
        <v>198547.00999999998</v>
      </c>
      <c r="Y29" s="6">
        <f>[TOT RF] + [REINVESTIR] + [APLICAÇÃO]</f>
        <v>250883.74</v>
      </c>
      <c r="Z29" s="4">
        <f>IF(AND([PROTEÇÃO MÊS] &gt; 0, ([TOT RF] - [PROTEÇÃO MÊS]) &gt; 0), [PROTEÇÃO MÊS] / ([TOT RF] - [PROTEÇÃO MÊS]), 0)</f>
        <v>0.1800574245808326</v>
      </c>
    </row>
    <row r="30" spans="1:26">
      <c r="A30" s="24">
        <v>29</v>
      </c>
      <c r="B30" s="21">
        <v>41852</v>
      </c>
      <c r="C30" s="18"/>
      <c r="D30" s="18"/>
      <c r="E30" s="18">
        <v>44365.25</v>
      </c>
      <c r="F30" s="3">
        <v>100</v>
      </c>
      <c r="G30" s="19">
        <f>SUMPRODUCT(N([TRADE] &lt;= Tabela13[[#This Row],[TRADE]]), [APORTE]) + SUMPRODUCT(N([TRADE] &lt;= Tabela13[[#This Row],[TRADE]]), [APORTE RF])</f>
        <v>2800</v>
      </c>
      <c r="H30" s="19">
        <f>[MONTANTE] - SUMPRODUCT(N([TRADE] &lt;= Tabela13[[#This Row],[TRADE]]), [SAQUE]) + SUMPRODUCT(N([TRADE] &lt; Tabela13[[#This Row],[TRADE]]), [REINVESTIR])</f>
        <v>52436.73000000001</v>
      </c>
      <c r="I30" s="19">
        <f>TRUNC([APLICAÇÃO]  * SETUP!$A$3, 2)</f>
        <v>19.399999999999999</v>
      </c>
      <c r="J30" s="19">
        <f>TRUNC([APLICAÇÃO]  * SETUP!$B$3, 2)</f>
        <v>14.42</v>
      </c>
      <c r="K30" s="19">
        <f>TRUNC([APLICAÇÃO]  * SETUP!$C$3, 2)</f>
        <v>36.44</v>
      </c>
      <c r="L30" s="19">
        <f>TRUNC(SETUP!$G$3  * SETUP!$H$3, 2)</f>
        <v>0.28999999999999998</v>
      </c>
      <c r="M30" s="19">
        <f>ROUND(SETUP!$G$3 * SETUP!$I$3, 2)</f>
        <v>0.57999999999999996</v>
      </c>
      <c r="N30" s="19">
        <f>SETUP!$G$3 + SUM(Tabela13[[#This Row],[EMOL CP]]:Tabela13[[#This Row],[OUTRAS CP]])</f>
        <v>86.03</v>
      </c>
      <c r="O30" s="19">
        <f>TRUNC([APLICAÇÃO] * 2  * SETUP!$A$3, 2)</f>
        <v>38.799999999999997</v>
      </c>
      <c r="P30" s="19">
        <f>TRUNC([APLICAÇÃO] * 2  * SETUP!$B$3, 2)</f>
        <v>28.84</v>
      </c>
      <c r="Q30" s="19">
        <f>TRUNC([APLICAÇÃO] * 2  * SETUP!$C$3, 2)</f>
        <v>72.88</v>
      </c>
      <c r="R30" s="19">
        <f>TRUNC(SETUP!$G$3  * SETUP!$H$3, 2)</f>
        <v>0.28999999999999998</v>
      </c>
      <c r="S30" s="19">
        <f>ROUND(SETUP!$G$3 * SETUP!$I$3, 2)</f>
        <v>0.57999999999999996</v>
      </c>
      <c r="T30" s="19">
        <f>SETUP!$G$3 + SUM(Tabela13[[#This Row],[EMOL VD]]:Tabela13[[#This Row],[OUTRAS VD]])</f>
        <v>156.29</v>
      </c>
      <c r="U30" s="19">
        <f>((([APLICAÇÃO] * 2) - [TAXA VD]) - ([APLICAÇÃO] + [TAXA CP])) * 0.85</f>
        <v>44365.248500000016</v>
      </c>
      <c r="V30" s="19">
        <f>IF([LUCRO] &lt; 0, 0, ROUND([LUCRO]*80%, 2))</f>
        <v>35492.199999999997</v>
      </c>
      <c r="W30" s="19">
        <f>[LUCRO]-[PROTEÇÃO MÊS]</f>
        <v>8873.0500000000029</v>
      </c>
      <c r="X30" s="39">
        <f>SUMPRODUCT(N([TRADE] &lt;= Tabela13[[#This Row],[TRADE]]), [PROTEÇÃO MÊS]) - [APORTE RF]</f>
        <v>234039.20999999996</v>
      </c>
      <c r="Y30" s="19">
        <f>[TOT RF] + [REINVESTIR] + [APLICAÇÃO]</f>
        <v>295348.99</v>
      </c>
      <c r="Z30" s="20">
        <f>IF(AND([PROTEÇÃO MÊS] &gt; 0, ([TOT RF] - [PROTEÇÃO MÊS]) &gt; 0), [PROTEÇÃO MÊS] / ([TOT RF] - [PROTEÇÃO MÊS]), 0)</f>
        <v>0.17875968013822019</v>
      </c>
    </row>
    <row r="31" spans="1:26">
      <c r="A31" s="1">
        <v>30</v>
      </c>
      <c r="B31" s="21">
        <v>41883</v>
      </c>
      <c r="C31" s="18"/>
      <c r="D31" s="18"/>
      <c r="E31" s="18">
        <v>51961.7</v>
      </c>
      <c r="F31" s="19">
        <f>100</f>
        <v>100</v>
      </c>
      <c r="G31" s="19">
        <f>SUMPRODUCT(N([TRADE] &lt;= Tabela13[[#This Row],[TRADE]]), [APORTE]) + SUMPRODUCT(N([TRADE] &lt;= Tabela13[[#This Row],[TRADE]]), [APORTE RF])</f>
        <v>2900</v>
      </c>
      <c r="H31" s="19">
        <f>[MONTANTE] - SUMPRODUCT(N([TRADE] &lt;= Tabela13[[#This Row],[TRADE]]), [SAQUE]) + SUMPRODUCT(N([TRADE] &lt; Tabela13[[#This Row],[TRADE]]), [REINVESTIR])</f>
        <v>61409.780000000013</v>
      </c>
      <c r="I31" s="19">
        <f>TRUNC([APLICAÇÃO]  * SETUP!$A$3, 2)</f>
        <v>22.72</v>
      </c>
      <c r="J31" s="19">
        <f>TRUNC([APLICAÇÃO]  * SETUP!$B$3, 2)</f>
        <v>16.88</v>
      </c>
      <c r="K31" s="19">
        <f>TRUNC([APLICAÇÃO]  * SETUP!$C$3, 2)</f>
        <v>42.67</v>
      </c>
      <c r="L31" s="19">
        <f>TRUNC(SETUP!$G$3  * SETUP!$H$3, 2)</f>
        <v>0.28999999999999998</v>
      </c>
      <c r="M31" s="19">
        <f>ROUND(SETUP!$G$3 * SETUP!$I$3, 2)</f>
        <v>0.57999999999999996</v>
      </c>
      <c r="N31" s="19">
        <f>SETUP!$G$3 + SUM(Tabela13[[#This Row],[EMOL CP]]:Tabela13[[#This Row],[OUTRAS CP]])</f>
        <v>98.04</v>
      </c>
      <c r="O31" s="19">
        <f>TRUNC([APLICAÇÃO] * 2  * SETUP!$A$3, 2)</f>
        <v>45.44</v>
      </c>
      <c r="P31" s="19">
        <f>TRUNC([APLICAÇÃO] * 2  * SETUP!$B$3, 2)</f>
        <v>33.770000000000003</v>
      </c>
      <c r="Q31" s="19">
        <f>TRUNC([APLICAÇÃO] * 2  * SETUP!$C$3, 2)</f>
        <v>85.35</v>
      </c>
      <c r="R31" s="19">
        <f>TRUNC(SETUP!$G$3  * SETUP!$H$3, 2)</f>
        <v>0.28999999999999998</v>
      </c>
      <c r="S31" s="19">
        <f>ROUND(SETUP!$G$3 * SETUP!$I$3, 2)</f>
        <v>0.57999999999999996</v>
      </c>
      <c r="T31" s="19">
        <f>SETUP!$G$3 + SUM(Tabela13[[#This Row],[EMOL VD]]:Tabela13[[#This Row],[OUTRAS VD]])</f>
        <v>180.33</v>
      </c>
      <c r="U31" s="19">
        <f>((([APLICAÇÃO] * 2) - [TAXA VD]) - ([APLICAÇÃO] + [TAXA CP])) * 0.85</f>
        <v>51961.698500000006</v>
      </c>
      <c r="V31" s="19">
        <f>IF([LUCRO] &lt; 0, 0, ROUND([LUCRO]*80%, 2))</f>
        <v>41569.360000000001</v>
      </c>
      <c r="W31" s="19">
        <f>[LUCRO]-[PROTEÇÃO MÊS]</f>
        <v>10392.339999999997</v>
      </c>
      <c r="X31" s="39">
        <f>SUMPRODUCT(N([TRADE] &lt;= Tabela13[[#This Row],[TRADE]]), [PROTEÇÃO MÊS]) - [APORTE RF]</f>
        <v>275608.56999999995</v>
      </c>
      <c r="Y31" s="19">
        <f>[TOT RF] + [REINVESTIR] + [APLICAÇÃO]</f>
        <v>347410.68999999994</v>
      </c>
      <c r="Z31" s="20">
        <f>IF(AND([PROTEÇÃO MÊS] &gt; 0, ([TOT RF] - [PROTEÇÃO MÊS]) &gt; 0), [PROTEÇÃO MÊS] / ([TOT RF] - [PROTEÇÃO MÊS]), 0)</f>
        <v>0.17761707536100471</v>
      </c>
    </row>
    <row r="32" spans="1:26">
      <c r="A32" s="1" t="s">
        <v>35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40"/>
      <c r="Y32" s="14"/>
      <c r="Z32" s="13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>
      <selection activeCell="I24" sqref="I24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1" bestFit="1" customWidth="1"/>
    <col min="23" max="23" width="13.42578125" style="1" bestFit="1" customWidth="1"/>
    <col min="24" max="24" width="11.5703125" style="1" bestFit="1" customWidth="1"/>
    <col min="25" max="26" width="12.85546875" style="1" bestFit="1" customWidth="1"/>
    <col min="27" max="16384" width="9.140625" style="1"/>
  </cols>
  <sheetData>
    <row r="1" spans="1:26">
      <c r="A1" s="2" t="s">
        <v>29</v>
      </c>
      <c r="B1" s="2" t="s">
        <v>2</v>
      </c>
      <c r="C1" s="2" t="s">
        <v>6</v>
      </c>
      <c r="D1" s="2" t="s">
        <v>30</v>
      </c>
      <c r="E1" s="12" t="s">
        <v>33</v>
      </c>
      <c r="F1" s="12" t="s">
        <v>1</v>
      </c>
      <c r="G1" s="2" t="s">
        <v>0</v>
      </c>
      <c r="H1" s="2" t="s">
        <v>3</v>
      </c>
      <c r="I1" s="2" t="s">
        <v>5</v>
      </c>
      <c r="J1" s="2" t="s">
        <v>14</v>
      </c>
      <c r="K1" s="2" t="s">
        <v>15</v>
      </c>
      <c r="L1" s="2" t="s">
        <v>16</v>
      </c>
      <c r="M1" s="2" t="s">
        <v>20</v>
      </c>
      <c r="N1" s="2" t="s">
        <v>19</v>
      </c>
      <c r="O1" s="2" t="s">
        <v>18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7</v>
      </c>
      <c r="W1" s="2" t="s">
        <v>34</v>
      </c>
      <c r="X1" s="2" t="s">
        <v>4</v>
      </c>
      <c r="Y1" s="2" t="s">
        <v>8</v>
      </c>
      <c r="Z1" s="2" t="s">
        <v>31</v>
      </c>
    </row>
    <row r="2" spans="1:26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3">
        <f>IF([LUCRO] &lt; 0, 0, ROUND([LUCRO]*80%, 2))</f>
        <v>0</v>
      </c>
      <c r="X2" s="3">
        <f>[LUCRO]-[PROTEÇÃO MÊS]</f>
        <v>0</v>
      </c>
      <c r="Y2" s="3">
        <f>SUMPRODUCT(N([TRADE] &lt;= Tabela13[[#This Row],[TRADE]]), [PROTEÇÃO MÊS]) - [APORTE RF]</f>
        <v>0</v>
      </c>
      <c r="Z2" s="6">
        <f>[TOT RF] + [REINVESTIR] + [APLICAÇÃO]</f>
        <v>100</v>
      </c>
    </row>
    <row r="3" spans="1:26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6">
        <f>IF([LUCRO] &lt; 0, 0, ROUND([LUCRO]*80%, 2))</f>
        <v>0</v>
      </c>
      <c r="X3" s="6">
        <f>[LUCRO]-[PROTEÇÃO MÊS]</f>
        <v>-59.79</v>
      </c>
      <c r="Y3" s="6">
        <f>SUMPRODUCT(N([TRADE] &lt;= Tabela13[[#This Row],[TRADE]]), [PROTEÇÃO MÊS]) - [APORTE RF]</f>
        <v>0</v>
      </c>
      <c r="Z3" s="6">
        <f>[TOT RF] + [REINVESTIR] + [APLICAÇÃO]</f>
        <v>40.21</v>
      </c>
    </row>
    <row r="4" spans="1:26">
      <c r="A4" s="1">
        <v>3</v>
      </c>
      <c r="B4" s="5">
        <v>41061</v>
      </c>
      <c r="C4" s="25"/>
      <c r="D4" s="25"/>
      <c r="E4" s="25"/>
      <c r="F4" s="25"/>
      <c r="G4" s="26">
        <f>100</f>
        <v>100</v>
      </c>
      <c r="H4" s="26">
        <f>SUMPRODUCT(N([TRADE] &lt;= Tabela134[[#This Row],[TRADE]]), [APORTE]) + SUMPRODUCT(N([TRADE] &lt;= Tabela134[[#This Row],[TRADE]]), [APORTE RF])</f>
        <v>200</v>
      </c>
      <c r="I4" s="26">
        <f>[MONTANTE] - SUMPRODUCT(N([TRADE] &lt;= Tabela134[[#This Row],[TRADE]]), [SAQUE]) + SUMPRODUCT(N([TRADE] &lt; Tabela134[[#This Row],[TRADE]]), [REINVESTIR])</f>
        <v>140.21</v>
      </c>
      <c r="J4" s="26">
        <f>TRUNC([APLICAÇÃO]  * SETUP!$A$3, 2)</f>
        <v>0.05</v>
      </c>
      <c r="K4" s="26">
        <f>TRUNC([APLICAÇÃO]  * SETUP!$B$3, 2)</f>
        <v>0.03</v>
      </c>
      <c r="L4" s="26">
        <f>TRUNC([APLICAÇÃO]  * SETUP!$C$3, 2)</f>
        <v>0.09</v>
      </c>
      <c r="M4" s="26">
        <f>TRUNC(SETUP!$G$3  * SETUP!$H$3, 2)</f>
        <v>0.28999999999999998</v>
      </c>
      <c r="N4" s="26">
        <f>ROUND(SETUP!$G$3 * SETUP!$I$3, 2)</f>
        <v>0.57999999999999996</v>
      </c>
      <c r="O4" s="26">
        <f>SETUP!$G$3 + SUM(Tabela134[[#This Row],[EMOL CP]]:Tabela134[[#This Row],[OUTRAS CP]])</f>
        <v>15.940000000000001</v>
      </c>
      <c r="P4" s="26">
        <f>TRUNC([APLICAÇÃO] * 2  * SETUP!$A$3, 2)</f>
        <v>0.1</v>
      </c>
      <c r="Q4" s="26">
        <f>TRUNC([APLICAÇÃO] * 2  * SETUP!$B$3, 2)</f>
        <v>7.0000000000000007E-2</v>
      </c>
      <c r="R4" s="26">
        <f>TRUNC([APLICAÇÃO] * 2  * SETUP!$C$3, 2)</f>
        <v>0.19</v>
      </c>
      <c r="S4" s="26">
        <f>TRUNC(SETUP!$G$3  * SETUP!$H$3, 2)</f>
        <v>0.28999999999999998</v>
      </c>
      <c r="T4" s="26">
        <f>ROUND(SETUP!$G$3 * SETUP!$I$3, 2)</f>
        <v>0.57999999999999996</v>
      </c>
      <c r="U4" s="26">
        <f>SETUP!$G$3 + SUM(Tabela134[[#This Row],[EMOL VD]]:Tabela134[[#This Row],[OUTRAS VD]])</f>
        <v>16.13</v>
      </c>
      <c r="V4" s="26">
        <f>((([APLICAÇÃO] * 2) - [TAXA VD]) - ([APLICAÇÃO] + [TAXA CP])) * 0.85</f>
        <v>91.919000000000011</v>
      </c>
      <c r="W4" s="26">
        <f>IF([LUCRO] &lt; 0, 0, ROUND([LUCRO]*80%, 2))</f>
        <v>0</v>
      </c>
      <c r="X4" s="26">
        <f>[LUCRO]-[PROTEÇÃO MÊS]</f>
        <v>0</v>
      </c>
      <c r="Y4" s="26">
        <f>SUMPRODUCT(N([TRADE] &lt;= Tabela13[[#This Row],[TRADE]]), [PROTEÇÃO MÊS]) - [APORTE RF]</f>
        <v>0</v>
      </c>
      <c r="Z4" s="26">
        <f>[TOT RF] + [REINVESTIR] + [APLICAÇÃO]</f>
        <v>140.21</v>
      </c>
    </row>
    <row r="5" spans="1:26">
      <c r="A5" s="1">
        <v>4</v>
      </c>
      <c r="B5" s="5">
        <v>41091</v>
      </c>
      <c r="C5" s="3"/>
      <c r="D5" s="3"/>
      <c r="E5" s="3"/>
      <c r="F5" s="3">
        <v>407</v>
      </c>
      <c r="G5" s="6">
        <f>100</f>
        <v>100</v>
      </c>
      <c r="H5" s="6">
        <f>SUMPRODUCT(N([TRADE] &lt;= Tabela134[[#This Row],[TRADE]]), [APORTE]) + SUMPRODUCT(N([TRADE] &lt;= Tabela134[[#This Row],[TRADE]]), [APORTE RF])</f>
        <v>300</v>
      </c>
      <c r="I5" s="6">
        <f>[MONTANTE] - SUMPRODUCT(N([TRADE] &lt;= Tabela134[[#This Row],[TRADE]]), [SAQUE]) + SUMPRODUCT(N([TRADE] &lt; Tabela134[[#This Row],[TRADE]]), [REINVESTIR])</f>
        <v>240.21</v>
      </c>
      <c r="J5" s="6">
        <f>TRUNC([APLICAÇÃO]  * SETUP!$A$3, 2)</f>
        <v>0.08</v>
      </c>
      <c r="K5" s="6">
        <f>TRUNC([APLICAÇÃO]  * SETUP!$B$3, 2)</f>
        <v>0.06</v>
      </c>
      <c r="L5" s="6">
        <f>TRUNC([APLICAÇÃO]  * SETUP!$C$3, 2)</f>
        <v>0.16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16.07</v>
      </c>
      <c r="P5" s="6">
        <f>TRUNC([APLICAÇÃO] * 2  * SETUP!$A$3, 2)</f>
        <v>0.17</v>
      </c>
      <c r="Q5" s="6">
        <f>TRUNC([APLICAÇÃO] * 2  * SETUP!$B$3, 2)</f>
        <v>0.13</v>
      </c>
      <c r="R5" s="6">
        <f>TRUNC([APLICAÇÃO] * 2  * SETUP!$C$3, 2)</f>
        <v>0.33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16.399999999999999</v>
      </c>
      <c r="V5" s="6">
        <f>((([APLICAÇÃO] * 2) - [TAXA VD]) - ([APLICAÇÃO] + [TAXA CP])) * 0.85</f>
        <v>176.57900000000001</v>
      </c>
      <c r="W5" s="6">
        <f>IF([LUCRO] &lt; 0, 0, ROUND([LUCRO]*80%, 2))</f>
        <v>325.60000000000002</v>
      </c>
      <c r="X5" s="6">
        <f>[LUCRO]-[PROTEÇÃO MÊS]</f>
        <v>81.399999999999977</v>
      </c>
      <c r="Y5" s="6">
        <f>SUMPRODUCT(N([TRADE] &lt;= Tabela13[[#This Row],[TRADE]]), [PROTEÇÃO MÊS]) - [APORTE RF]</f>
        <v>325.60000000000002</v>
      </c>
      <c r="Z5" s="6">
        <f>[TOT RF] + [REINVESTIR] + [APLICAÇÃO]</f>
        <v>647.21</v>
      </c>
    </row>
    <row r="6" spans="1:26">
      <c r="A6" s="1">
        <v>5</v>
      </c>
      <c r="B6" s="5">
        <v>41122</v>
      </c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400</v>
      </c>
      <c r="I6" s="6">
        <f>[MONTANTE] - SUMPRODUCT(N([TRADE] &lt;= Tabela134[[#This Row],[TRADE]]), [SAQUE]) + SUMPRODUCT(N([TRADE] &lt; Tabela134[[#This Row],[TRADE]]), [REINVESTIR])</f>
        <v>421.60999999999996</v>
      </c>
      <c r="J6" s="6">
        <f>TRUNC([APLICAÇÃO]  * SETUP!$A$3, 2)</f>
        <v>0.15</v>
      </c>
      <c r="K6" s="6">
        <f>TRUNC([APLICAÇÃO]  * SETUP!$B$3, 2)</f>
        <v>0.11</v>
      </c>
      <c r="L6" s="6">
        <f>TRUNC([APLICAÇÃO]  * SETUP!$C$3, 2)</f>
        <v>0.28999999999999998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16.32</v>
      </c>
      <c r="P6" s="6">
        <f>TRUNC([APLICAÇÃO] * 2  * SETUP!$A$3, 2)</f>
        <v>0.31</v>
      </c>
      <c r="Q6" s="6">
        <f>TRUNC([APLICAÇÃO] * 2  * SETUP!$B$3, 2)</f>
        <v>0.23</v>
      </c>
      <c r="R6" s="6">
        <f>TRUNC([APLICAÇÃO] * 2  * SETUP!$C$3, 2)</f>
        <v>0.57999999999999996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16.89</v>
      </c>
      <c r="V6" s="6">
        <f>((([APLICAÇÃO] * 2) - [TAXA VD]) - ([APLICAÇÃO] + [TAXA CP])) * 0.85</f>
        <v>330.14</v>
      </c>
      <c r="W6" s="6">
        <f>IF([LUCRO] &lt; 0, 0, ROUND([LUCRO]*80%, 2))</f>
        <v>0</v>
      </c>
      <c r="X6" s="6">
        <f>[LUCRO]-[PROTEÇÃO MÊS]</f>
        <v>0</v>
      </c>
      <c r="Y6" s="6">
        <f>SUMPRODUCT(N([TRADE] &lt;= Tabela13[[#This Row],[TRADE]]), [PROTEÇÃO MÊS]) - [APORTE RF]</f>
        <v>325.60000000000002</v>
      </c>
      <c r="Z6" s="6">
        <f>[TOT RF] + [REINVESTIR] + [APLICAÇÃO]</f>
        <v>747.21</v>
      </c>
    </row>
    <row r="7" spans="1:26">
      <c r="A7" s="1">
        <v>6</v>
      </c>
      <c r="B7" s="5">
        <v>41153</v>
      </c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500</v>
      </c>
      <c r="I7" s="6">
        <f>[MONTANTE] - SUMPRODUCT(N([TRADE] &lt;= Tabela134[[#This Row],[TRADE]]), [SAQUE]) + SUMPRODUCT(N([TRADE] &lt; Tabela134[[#This Row],[TRADE]]), [REINVESTIR])</f>
        <v>521.61</v>
      </c>
      <c r="J7" s="6">
        <f>TRUNC([APLICAÇÃO]  * SETUP!$A$3, 2)</f>
        <v>0.19</v>
      </c>
      <c r="K7" s="6">
        <f>TRUNC([APLICAÇÃO]  * SETUP!$B$3, 2)</f>
        <v>0.14000000000000001</v>
      </c>
      <c r="L7" s="6">
        <f>TRUNC([APLICAÇÃO]  * SETUP!$C$3, 2)</f>
        <v>0.36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16.46</v>
      </c>
      <c r="P7" s="6">
        <f>TRUNC([APLICAÇÃO] * 2  * SETUP!$A$3, 2)</f>
        <v>0.38</v>
      </c>
      <c r="Q7" s="6">
        <f>TRUNC([APLICAÇÃO] * 2  * SETUP!$B$3, 2)</f>
        <v>0.28000000000000003</v>
      </c>
      <c r="R7" s="6">
        <f>TRUNC([APLICAÇÃO] * 2  * SETUP!$C$3, 2)</f>
        <v>0.72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17.149999999999999</v>
      </c>
      <c r="V7" s="6">
        <f>((([APLICAÇÃO] * 2) - [TAXA VD]) - ([APLICAÇÃO] + [TAXA CP])) * 0.85</f>
        <v>414.7999999999999</v>
      </c>
      <c r="W7" s="6">
        <f>IF([LUCRO] &lt; 0, 0, ROUND([LUCRO]*80%, 2))</f>
        <v>0</v>
      </c>
      <c r="X7" s="6">
        <f>[LUCRO]-[PROTEÇÃO MÊS]</f>
        <v>0</v>
      </c>
      <c r="Y7" s="6">
        <f>SUMPRODUCT(N([TRADE] &lt;= Tabela13[[#This Row],[TRADE]]), [PROTEÇÃO MÊS]) - [APORTE RF]</f>
        <v>325.60000000000002</v>
      </c>
      <c r="Z7" s="6">
        <f>[TOT RF] + [REINVESTIR] + [APLICAÇÃO]</f>
        <v>847.21</v>
      </c>
    </row>
    <row r="8" spans="1:26">
      <c r="A8" s="1">
        <v>7</v>
      </c>
      <c r="B8" s="5">
        <v>41183</v>
      </c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600</v>
      </c>
      <c r="I8" s="6">
        <f>[MONTANTE] - SUMPRODUCT(N([TRADE] &lt;= Tabela134[[#This Row],[TRADE]]), [SAQUE]) + SUMPRODUCT(N([TRADE] &lt; Tabela134[[#This Row],[TRADE]]), [REINVESTIR])</f>
        <v>621.61</v>
      </c>
      <c r="J8" s="6">
        <f>TRUNC([APLICAÇÃO]  * SETUP!$A$3, 2)</f>
        <v>0.22</v>
      </c>
      <c r="K8" s="6">
        <f>TRUNC([APLICAÇÃO]  * SETUP!$B$3, 2)</f>
        <v>0.17</v>
      </c>
      <c r="L8" s="6">
        <f>TRUNC([APLICAÇÃO]  * SETUP!$C$3, 2)</f>
        <v>0.43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16.59</v>
      </c>
      <c r="P8" s="6">
        <f>TRUNC([APLICAÇÃO] * 2  * SETUP!$A$3, 2)</f>
        <v>0.45</v>
      </c>
      <c r="Q8" s="6">
        <f>TRUNC([APLICAÇÃO] * 2  * SETUP!$B$3, 2)</f>
        <v>0.34</v>
      </c>
      <c r="R8" s="6">
        <f>TRUNC([APLICAÇÃO] * 2  * SETUP!$C$3, 2)</f>
        <v>0.86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17.420000000000002</v>
      </c>
      <c r="V8" s="6">
        <f>((([APLICAÇÃO] * 2) - [TAXA VD]) - ([APLICAÇÃO] + [TAXA CP])) * 0.85</f>
        <v>499.45999999999992</v>
      </c>
      <c r="W8" s="6">
        <f>IF([LUCRO] &lt; 0, 0, ROUND([LUCRO]*80%, 2))</f>
        <v>0</v>
      </c>
      <c r="X8" s="6">
        <f>[LUCRO]-[PROTEÇÃO MÊS]</f>
        <v>0</v>
      </c>
      <c r="Y8" s="6">
        <f>SUMPRODUCT(N([TRADE] &lt;= Tabela13[[#This Row],[TRADE]]), [PROTEÇÃO MÊS]) - [APORTE RF]</f>
        <v>325.60000000000002</v>
      </c>
      <c r="Z8" s="6">
        <f>[TOT RF] + [REINVESTIR] + [APLICAÇÃO]</f>
        <v>947.21</v>
      </c>
    </row>
    <row r="9" spans="1:26">
      <c r="A9" s="1">
        <v>8</v>
      </c>
      <c r="B9" s="5">
        <v>41214</v>
      </c>
      <c r="C9" s="18"/>
      <c r="D9" s="18"/>
      <c r="E9" s="18"/>
      <c r="F9" s="18"/>
      <c r="G9" s="19">
        <f>100</f>
        <v>100</v>
      </c>
      <c r="H9" s="19">
        <f>SUMPRODUCT(N([TRADE] &lt;= Tabela134[[#This Row],[TRADE]]), [APORTE]) + SUMPRODUCT(N([TRADE] &lt;= Tabela134[[#This Row],[TRADE]]), [APORTE RF])</f>
        <v>700</v>
      </c>
      <c r="I9" s="19">
        <f>[MONTANTE] - SUMPRODUCT(N([TRADE] &lt;= Tabela134[[#This Row],[TRADE]]), [SAQUE]) + SUMPRODUCT(N([TRADE] &lt; Tabela134[[#This Row],[TRADE]]), [REINVESTIR])</f>
        <v>721.61</v>
      </c>
      <c r="J9" s="19">
        <f>TRUNC([APLICAÇÃO]  * SETUP!$A$3, 2)</f>
        <v>0.26</v>
      </c>
      <c r="K9" s="19">
        <f>TRUNC([APLICAÇÃO]  * SETUP!$B$3, 2)</f>
        <v>0.19</v>
      </c>
      <c r="L9" s="19">
        <f>TRUNC([APLICAÇÃO]  * SETUP!$C$3, 2)</f>
        <v>0.5</v>
      </c>
      <c r="M9" s="19">
        <f>TRUNC(SETUP!$G$3  * SETUP!$H$3, 2)</f>
        <v>0.28999999999999998</v>
      </c>
      <c r="N9" s="19">
        <f>ROUND(SETUP!$G$3 * SETUP!$I$3, 2)</f>
        <v>0.57999999999999996</v>
      </c>
      <c r="O9" s="19">
        <f>SETUP!$G$3 + SUM(Tabela134[[#This Row],[EMOL CP]]:Tabela134[[#This Row],[OUTRAS CP]])</f>
        <v>16.72</v>
      </c>
      <c r="P9" s="19">
        <f>TRUNC([APLICAÇÃO] * 2  * SETUP!$A$3, 2)</f>
        <v>0.53</v>
      </c>
      <c r="Q9" s="19">
        <f>TRUNC([APLICAÇÃO] * 2  * SETUP!$B$3, 2)</f>
        <v>0.39</v>
      </c>
      <c r="R9" s="19">
        <f>TRUNC([APLICAÇÃO] * 2  * SETUP!$C$3, 2)</f>
        <v>1</v>
      </c>
      <c r="S9" s="19">
        <f>TRUNC(SETUP!$G$3  * SETUP!$H$3, 2)</f>
        <v>0.28999999999999998</v>
      </c>
      <c r="T9" s="19">
        <f>ROUND(SETUP!$G$3 * SETUP!$I$3, 2)</f>
        <v>0.57999999999999996</v>
      </c>
      <c r="U9" s="19">
        <f>SETUP!$G$3 + SUM(Tabela134[[#This Row],[EMOL VD]]:Tabela134[[#This Row],[OUTRAS VD]])</f>
        <v>17.690000000000001</v>
      </c>
      <c r="V9" s="19">
        <f>((([APLICAÇÃO] * 2) - [TAXA VD]) - ([APLICAÇÃO] + [TAXA CP])) * 0.85</f>
        <v>584.11999999999989</v>
      </c>
      <c r="W9" s="19">
        <f>IF([LUCRO] &lt; 0, 0, ROUND([LUCRO]*80%, 2))</f>
        <v>0</v>
      </c>
      <c r="X9" s="19">
        <f>[LUCRO]-[PROTEÇÃO MÊS]</f>
        <v>0</v>
      </c>
      <c r="Y9" s="19">
        <f>SUMPRODUCT(N([TRADE] &lt;= Tabela13[[#This Row],[TRADE]]), [PROTEÇÃO MÊS]) - [APORTE RF]</f>
        <v>325.60000000000002</v>
      </c>
      <c r="Z9" s="19">
        <f>[TOT RF] + [REINVESTIR] + [APLICAÇÃO]</f>
        <v>1047.21</v>
      </c>
    </row>
    <row r="10" spans="1:26">
      <c r="A10" s="1">
        <v>9</v>
      </c>
      <c r="B10" s="5">
        <v>41244</v>
      </c>
      <c r="C10" s="18"/>
      <c r="D10" s="18"/>
      <c r="E10" s="18"/>
      <c r="F10" s="18"/>
      <c r="G10" s="19">
        <f>100</f>
        <v>100</v>
      </c>
      <c r="H10" s="19">
        <f>SUMPRODUCT(N([TRADE] &lt;= Tabela134[[#This Row],[TRADE]]), [APORTE]) + SUMPRODUCT(N([TRADE] &lt;= Tabela134[[#This Row],[TRADE]]), [APORTE RF])</f>
        <v>800</v>
      </c>
      <c r="I10" s="19">
        <f>[MONTANTE] - SUMPRODUCT(N([TRADE] &lt;= Tabela134[[#This Row],[TRADE]]), [SAQUE]) + SUMPRODUCT(N([TRADE] &lt; Tabela134[[#This Row],[TRADE]]), [REINVESTIR])</f>
        <v>821.61</v>
      </c>
      <c r="J10" s="19">
        <f>TRUNC([APLICAÇÃO]  * SETUP!$A$3, 2)</f>
        <v>0.3</v>
      </c>
      <c r="K10" s="19">
        <f>TRUNC([APLICAÇÃO]  * SETUP!$B$3, 2)</f>
        <v>0.22</v>
      </c>
      <c r="L10" s="19">
        <f>TRUNC([APLICAÇÃO]  * SETUP!$C$3, 2)</f>
        <v>0.56999999999999995</v>
      </c>
      <c r="M10" s="19">
        <f>TRUNC(SETUP!$G$3  * SETUP!$H$3, 2)</f>
        <v>0.28999999999999998</v>
      </c>
      <c r="N10" s="19">
        <f>ROUND(SETUP!$G$3 * SETUP!$I$3, 2)</f>
        <v>0.57999999999999996</v>
      </c>
      <c r="O10" s="19">
        <f>SETUP!$G$3 + SUM(Tabela134[[#This Row],[EMOL CP]]:Tabela134[[#This Row],[OUTRAS CP]])</f>
        <v>16.86</v>
      </c>
      <c r="P10" s="19">
        <f>TRUNC([APLICAÇÃO] * 2  * SETUP!$A$3, 2)</f>
        <v>0.6</v>
      </c>
      <c r="Q10" s="19">
        <f>TRUNC([APLICAÇÃO] * 2  * SETUP!$B$3, 2)</f>
        <v>0.45</v>
      </c>
      <c r="R10" s="19">
        <f>TRUNC([APLICAÇÃO] * 2  * SETUP!$C$3, 2)</f>
        <v>1.1399999999999999</v>
      </c>
      <c r="S10" s="19">
        <f>TRUNC(SETUP!$G$3  * SETUP!$H$3, 2)</f>
        <v>0.28999999999999998</v>
      </c>
      <c r="T10" s="19">
        <f>ROUND(SETUP!$G$3 * SETUP!$I$3, 2)</f>
        <v>0.57999999999999996</v>
      </c>
      <c r="U10" s="19">
        <f>SETUP!$G$3 + SUM(Tabela134[[#This Row],[EMOL VD]]:Tabela134[[#This Row],[OUTRAS VD]])</f>
        <v>17.96</v>
      </c>
      <c r="V10" s="19">
        <f>((([APLICAÇÃO] * 2) - [TAXA VD]) - ([APLICAÇÃO] + [TAXA CP])) * 0.85</f>
        <v>668.77149999999995</v>
      </c>
      <c r="W10" s="19">
        <f>IF([LUCRO] &lt; 0, 0, ROUND([LUCRO]*80%, 2))</f>
        <v>0</v>
      </c>
      <c r="X10" s="19">
        <f>[LUCRO]-[PROTEÇÃO MÊS]</f>
        <v>0</v>
      </c>
      <c r="Y10" s="19">
        <f>SUMPRODUCT(N([TRADE] &lt;= Tabela13[[#This Row],[TRADE]]), [PROTEÇÃO MÊS]) - [APORTE RF]</f>
        <v>325.60000000000002</v>
      </c>
      <c r="Z10" s="19">
        <f>[TOT RF] + [REINVESTIR] + [APLICAÇÃO]</f>
        <v>1147.21</v>
      </c>
    </row>
    <row r="11" spans="1:26">
      <c r="A11" s="1">
        <v>10</v>
      </c>
      <c r="B11" s="5">
        <v>41275</v>
      </c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900</v>
      </c>
      <c r="I11" s="6">
        <f>[MONTANTE] - SUMPRODUCT(N([TRADE] &lt;= Tabela134[[#This Row],[TRADE]]), [SAQUE]) + SUMPRODUCT(N([TRADE] &lt; Tabela134[[#This Row],[TRADE]]), [REINVESTIR])</f>
        <v>921.61</v>
      </c>
      <c r="J11" s="6">
        <f>TRUNC([APLICAÇÃO]  * SETUP!$A$3, 2)</f>
        <v>0.34</v>
      </c>
      <c r="K11" s="6">
        <f>TRUNC([APLICAÇÃO]  * SETUP!$B$3, 2)</f>
        <v>0.25</v>
      </c>
      <c r="L11" s="6">
        <f>TRUNC([APLICAÇÃO]  * SETUP!$C$3, 2)</f>
        <v>0.64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17</v>
      </c>
      <c r="P11" s="6">
        <f>TRUNC([APLICAÇÃO] * 2  * SETUP!$A$3, 2)</f>
        <v>0.68</v>
      </c>
      <c r="Q11" s="6">
        <f>TRUNC([APLICAÇÃO] * 2  * SETUP!$B$3, 2)</f>
        <v>0.5</v>
      </c>
      <c r="R11" s="6">
        <f>TRUNC([APLICAÇÃO] * 2  * SETUP!$C$3, 2)</f>
        <v>1.28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18.23</v>
      </c>
      <c r="V11" s="6">
        <f>((([APLICAÇÃO] * 2) - [TAXA VD]) - ([APLICAÇÃO] + [TAXA CP])) * 0.85</f>
        <v>753.423</v>
      </c>
      <c r="W11" s="6">
        <f>IF([LUCRO] &lt; 0, 0, ROUND([LUCRO]*80%, 2))</f>
        <v>0</v>
      </c>
      <c r="X11" s="6">
        <f>[LUCRO]-[PROTEÇÃO MÊS]</f>
        <v>0</v>
      </c>
      <c r="Y11" s="6">
        <f>SUMPRODUCT(N([TRADE] &lt;= Tabela13[[#This Row],[TRADE]]), [PROTEÇÃO MÊS]) - [APORTE RF]</f>
        <v>325.60000000000002</v>
      </c>
      <c r="Z11" s="6">
        <f>[TOT RF] + [REINVESTIR] + [APLICAÇÃO]</f>
        <v>1247.21</v>
      </c>
    </row>
    <row r="12" spans="1:26">
      <c r="A12" s="1">
        <v>11</v>
      </c>
      <c r="B12" s="5">
        <v>41306</v>
      </c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1000</v>
      </c>
      <c r="I12" s="6">
        <f>[MONTANTE] - SUMPRODUCT(N([TRADE] &lt;= Tabela134[[#This Row],[TRADE]]), [SAQUE]) + SUMPRODUCT(N([TRADE] &lt; Tabela134[[#This Row],[TRADE]]), [REINVESTIR])</f>
        <v>1021.61</v>
      </c>
      <c r="J12" s="6">
        <f>TRUNC([APLICAÇÃO]  * SETUP!$A$3, 2)</f>
        <v>0.37</v>
      </c>
      <c r="K12" s="6">
        <f>TRUNC([APLICAÇÃO]  * SETUP!$B$3, 2)</f>
        <v>0.28000000000000003</v>
      </c>
      <c r="L12" s="6">
        <f>TRUNC([APLICAÇÃO]  * SETUP!$C$3, 2)</f>
        <v>0.71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17.13</v>
      </c>
      <c r="P12" s="6">
        <f>TRUNC([APLICAÇÃO] * 2  * SETUP!$A$3, 2)</f>
        <v>0.75</v>
      </c>
      <c r="Q12" s="6">
        <f>TRUNC([APLICAÇÃO] * 2  * SETUP!$B$3, 2)</f>
        <v>0.56000000000000005</v>
      </c>
      <c r="R12" s="6">
        <f>TRUNC([APLICAÇÃO] * 2  * SETUP!$C$3, 2)</f>
        <v>1.42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18.5</v>
      </c>
      <c r="V12" s="6">
        <f>((([APLICAÇÃO] * 2) - [TAXA VD]) - ([APLICAÇÃO] + [TAXA CP])) * 0.85</f>
        <v>838.08299999999997</v>
      </c>
      <c r="W12" s="6">
        <f>IF([LUCRO] &lt; 0, 0, ROUND([LUCRO]*80%, 2))</f>
        <v>0</v>
      </c>
      <c r="X12" s="6">
        <f>[LUCRO]-[PROTEÇÃO MÊS]</f>
        <v>0</v>
      </c>
      <c r="Y12" s="6">
        <f>SUMPRODUCT(N([TRADE] &lt;= Tabela13[[#This Row],[TRADE]]), [PROTEÇÃO MÊS]) - [APORTE RF]</f>
        <v>325.60000000000002</v>
      </c>
      <c r="Z12" s="6">
        <f>[TOT RF] + [REINVESTIR] + [APLICAÇÃO]</f>
        <v>1347.21</v>
      </c>
    </row>
    <row r="13" spans="1:26">
      <c r="A13" s="1">
        <v>12</v>
      </c>
      <c r="B13" s="5">
        <v>41334</v>
      </c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1100</v>
      </c>
      <c r="I13" s="6">
        <f>[MONTANTE] - SUMPRODUCT(N([TRADE] &lt;= Tabela134[[#This Row],[TRADE]]), [SAQUE]) + SUMPRODUCT(N([TRADE] &lt; Tabela134[[#This Row],[TRADE]]), [REINVESTIR])</f>
        <v>1121.6099999999999</v>
      </c>
      <c r="J13" s="6">
        <f>TRUNC([APLICAÇÃO]  * SETUP!$A$3, 2)</f>
        <v>0.41</v>
      </c>
      <c r="K13" s="6">
        <f>TRUNC([APLICAÇÃO]  * SETUP!$B$3, 2)</f>
        <v>0.3</v>
      </c>
      <c r="L13" s="6">
        <f>TRUNC([APLICAÇÃO]  * SETUP!$C$3, 2)</f>
        <v>0.77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17.25</v>
      </c>
      <c r="P13" s="6">
        <f>TRUNC([APLICAÇÃO] * 2  * SETUP!$A$3, 2)</f>
        <v>0.82</v>
      </c>
      <c r="Q13" s="6">
        <f>TRUNC([APLICAÇÃO] * 2  * SETUP!$B$3, 2)</f>
        <v>0.61</v>
      </c>
      <c r="R13" s="6">
        <f>TRUNC([APLICAÇÃO] * 2  * SETUP!$C$3, 2)</f>
        <v>1.55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18.75</v>
      </c>
      <c r="V13" s="6">
        <f>((([APLICAÇÃO] * 2) - [TAXA VD]) - ([APLICAÇÃO] + [TAXA CP])) * 0.85</f>
        <v>922.7684999999999</v>
      </c>
      <c r="W13" s="6">
        <f>IF([LUCRO] &lt; 0, 0, ROUND([LUCRO]*80%, 2))</f>
        <v>0</v>
      </c>
      <c r="X13" s="6">
        <f>[LUCRO]-[PROTEÇÃO MÊS]</f>
        <v>0</v>
      </c>
      <c r="Y13" s="6">
        <f>SUMPRODUCT(N([TRADE] &lt;= Tabela13[[#This Row],[TRADE]]), [PROTEÇÃO MÊS]) - [APORTE RF]</f>
        <v>325.60000000000002</v>
      </c>
      <c r="Z13" s="6">
        <f>[TOT RF] + [REINVESTIR] + [APLICAÇÃO]</f>
        <v>1447.21</v>
      </c>
    </row>
    <row r="14" spans="1:26">
      <c r="A14" s="1">
        <v>13</v>
      </c>
      <c r="B14" s="5">
        <v>41365</v>
      </c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1200</v>
      </c>
      <c r="I14" s="6">
        <f>[MONTANTE] - SUMPRODUCT(N([TRADE] &lt;= Tabela134[[#This Row],[TRADE]]), [SAQUE]) + SUMPRODUCT(N([TRADE] &lt; Tabela134[[#This Row],[TRADE]]), [REINVESTIR])</f>
        <v>1221.6099999999999</v>
      </c>
      <c r="J14" s="6">
        <f>TRUNC([APLICAÇÃO]  * SETUP!$A$3, 2)</f>
        <v>0.45</v>
      </c>
      <c r="K14" s="6">
        <f>TRUNC([APLICAÇÃO]  * SETUP!$B$3, 2)</f>
        <v>0.33</v>
      </c>
      <c r="L14" s="6">
        <f>TRUNC([APLICAÇÃO]  * SETUP!$C$3, 2)</f>
        <v>0.84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17.39</v>
      </c>
      <c r="P14" s="6">
        <f>TRUNC([APLICAÇÃO] * 2  * SETUP!$A$3, 2)</f>
        <v>0.9</v>
      </c>
      <c r="Q14" s="6">
        <f>TRUNC([APLICAÇÃO] * 2  * SETUP!$B$3, 2)</f>
        <v>0.67</v>
      </c>
      <c r="R14" s="6">
        <f>TRUNC([APLICAÇÃO] * 2  * SETUP!$C$3, 2)</f>
        <v>1.69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19.03</v>
      </c>
      <c r="V14" s="6">
        <f>((([APLICAÇÃO] * 2) - [TAXA VD]) - ([APLICAÇÃO] + [TAXA CP])) * 0.85</f>
        <v>1007.4114999999996</v>
      </c>
      <c r="W14" s="6">
        <f>IF([LUCRO] &lt; 0, 0, ROUND([LUCRO]*80%, 2))</f>
        <v>0</v>
      </c>
      <c r="X14" s="6">
        <f>[LUCRO]-[PROTEÇÃO MÊS]</f>
        <v>0</v>
      </c>
      <c r="Y14" s="6">
        <f>SUMPRODUCT(N([TRADE] &lt;= Tabela13[[#This Row],[TRADE]]), [PROTEÇÃO MÊS]) - [APORTE RF]</f>
        <v>325.60000000000002</v>
      </c>
      <c r="Z14" s="6">
        <f>[TOT RF] + [REINVESTIR] + [APLICAÇÃO]</f>
        <v>1547.21</v>
      </c>
    </row>
    <row r="15" spans="1:26">
      <c r="A15" s="1">
        <v>14</v>
      </c>
      <c r="B15" s="5">
        <v>41395</v>
      </c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1300</v>
      </c>
      <c r="I15" s="6">
        <f>[MONTANTE] - SUMPRODUCT(N([TRADE] &lt;= Tabela134[[#This Row],[TRADE]]), [SAQUE]) + SUMPRODUCT(N([TRADE] &lt; Tabela134[[#This Row],[TRADE]]), [REINVESTIR])</f>
        <v>1321.61</v>
      </c>
      <c r="J15" s="6">
        <f>TRUNC([APLICAÇÃO]  * SETUP!$A$3, 2)</f>
        <v>0.48</v>
      </c>
      <c r="K15" s="6">
        <f>TRUNC([APLICAÇÃO]  * SETUP!$B$3, 2)</f>
        <v>0.36</v>
      </c>
      <c r="L15" s="6">
        <f>TRUNC([APLICAÇÃO]  * SETUP!$C$3, 2)</f>
        <v>0.91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17.52</v>
      </c>
      <c r="P15" s="6">
        <f>TRUNC([APLICAÇÃO] * 2  * SETUP!$A$3, 2)</f>
        <v>0.97</v>
      </c>
      <c r="Q15" s="6">
        <f>TRUNC([APLICAÇÃO] * 2  * SETUP!$B$3, 2)</f>
        <v>0.72</v>
      </c>
      <c r="R15" s="6">
        <f>TRUNC([APLICAÇÃO] * 2  * SETUP!$C$3, 2)</f>
        <v>1.83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19.29</v>
      </c>
      <c r="V15" s="6">
        <f>((([APLICAÇÃO] * 2) - [TAXA VD]) - ([APLICAÇÃO] + [TAXA CP])) * 0.85</f>
        <v>1092.08</v>
      </c>
      <c r="W15" s="6">
        <f>IF([LUCRO] &lt; 0, 0, ROUND([LUCRO]*80%, 2))</f>
        <v>0</v>
      </c>
      <c r="X15" s="6">
        <f>[LUCRO]-[PROTEÇÃO MÊS]</f>
        <v>0</v>
      </c>
      <c r="Y15" s="6">
        <f>SUMPRODUCT(N([TRADE] &lt;= Tabela13[[#This Row],[TRADE]]), [PROTEÇÃO MÊS]) - [APORTE RF]</f>
        <v>325.60000000000002</v>
      </c>
      <c r="Z15" s="6">
        <f>[TOT RF] + [REINVESTIR] + [APLICAÇÃO]</f>
        <v>1647.21</v>
      </c>
    </row>
    <row r="16" spans="1:26">
      <c r="A16" s="1">
        <v>15</v>
      </c>
      <c r="B16" s="5">
        <v>41426</v>
      </c>
      <c r="C16" s="18"/>
      <c r="D16" s="18"/>
      <c r="E16" s="18"/>
      <c r="F16" s="18"/>
      <c r="G16" s="19">
        <f>100</f>
        <v>100</v>
      </c>
      <c r="H16" s="19">
        <f>SUMPRODUCT(N([TRADE] &lt;= Tabela134[[#This Row],[TRADE]]), [APORTE]) + SUMPRODUCT(N([TRADE] &lt;= Tabela134[[#This Row],[TRADE]]), [APORTE RF])</f>
        <v>1400</v>
      </c>
      <c r="I16" s="19">
        <f>[MONTANTE] - SUMPRODUCT(N([TRADE] &lt;= Tabela134[[#This Row],[TRADE]]), [SAQUE]) + SUMPRODUCT(N([TRADE] &lt; Tabela134[[#This Row],[TRADE]]), [REINVESTIR])</f>
        <v>1421.61</v>
      </c>
      <c r="J16" s="19">
        <f>TRUNC([APLICAÇÃO]  * SETUP!$A$3, 2)</f>
        <v>0.52</v>
      </c>
      <c r="K16" s="19">
        <f>TRUNC([APLICAÇÃO]  * SETUP!$B$3, 2)</f>
        <v>0.39</v>
      </c>
      <c r="L16" s="19">
        <f>TRUNC([APLICAÇÃO]  * SETUP!$C$3, 2)</f>
        <v>0.98</v>
      </c>
      <c r="M16" s="19">
        <f>TRUNC(SETUP!$G$3  * SETUP!$H$3, 2)</f>
        <v>0.28999999999999998</v>
      </c>
      <c r="N16" s="19">
        <f>ROUND(SETUP!$G$3 * SETUP!$I$3, 2)</f>
        <v>0.57999999999999996</v>
      </c>
      <c r="O16" s="19">
        <f>SETUP!$G$3 + SUM(Tabela134[[#This Row],[EMOL CP]]:Tabela134[[#This Row],[OUTRAS CP]])</f>
        <v>17.66</v>
      </c>
      <c r="P16" s="19">
        <f>TRUNC([APLICAÇÃO] * 2  * SETUP!$A$3, 2)</f>
        <v>1.05</v>
      </c>
      <c r="Q16" s="19">
        <f>TRUNC([APLICAÇÃO] * 2  * SETUP!$B$3, 2)</f>
        <v>0.78</v>
      </c>
      <c r="R16" s="19">
        <f>TRUNC([APLICAÇÃO] * 2  * SETUP!$C$3, 2)</f>
        <v>1.97</v>
      </c>
      <c r="S16" s="19">
        <f>TRUNC(SETUP!$G$3  * SETUP!$H$3, 2)</f>
        <v>0.28999999999999998</v>
      </c>
      <c r="T16" s="19">
        <f>ROUND(SETUP!$G$3 * SETUP!$I$3, 2)</f>
        <v>0.57999999999999996</v>
      </c>
      <c r="U16" s="19">
        <f>SETUP!$G$3 + SUM(Tabela134[[#This Row],[EMOL VD]]:Tabela134[[#This Row],[OUTRAS VD]])</f>
        <v>19.57</v>
      </c>
      <c r="V16" s="19">
        <f>((([APLICAÇÃO] * 2) - [TAXA VD]) - ([APLICAÇÃO] + [TAXA CP])) * 0.85</f>
        <v>1176.7229999999997</v>
      </c>
      <c r="W16" s="19">
        <f>IF([LUCRO] &lt; 0, 0, ROUND([LUCRO]*80%, 2))</f>
        <v>0</v>
      </c>
      <c r="X16" s="19">
        <f>[LUCRO]-[PROTEÇÃO MÊS]</f>
        <v>0</v>
      </c>
      <c r="Y16" s="19">
        <f>SUMPRODUCT(N([TRADE] &lt;= Tabela13[[#This Row],[TRADE]]), [PROTEÇÃO MÊS]) - [APORTE RF]</f>
        <v>325.60000000000002</v>
      </c>
      <c r="Z16" s="19">
        <f>[TOT RF] + [REINVESTIR] + [APLICAÇÃO]</f>
        <v>1747.21</v>
      </c>
    </row>
    <row r="17" spans="1:26">
      <c r="A17" s="1">
        <v>16</v>
      </c>
      <c r="B17" s="5">
        <v>41456</v>
      </c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1500</v>
      </c>
      <c r="I17" s="6">
        <f>[MONTANTE] - SUMPRODUCT(N([TRADE] &lt;= Tabela134[[#This Row],[TRADE]]), [SAQUE]) + SUMPRODUCT(N([TRADE] &lt; Tabela134[[#This Row],[TRADE]]), [REINVESTIR])</f>
        <v>1521.61</v>
      </c>
      <c r="J17" s="6">
        <f>TRUNC([APLICAÇÃO]  * SETUP!$A$3, 2)</f>
        <v>0.56000000000000005</v>
      </c>
      <c r="K17" s="6">
        <f>TRUNC([APLICAÇÃO]  * SETUP!$B$3, 2)</f>
        <v>0.41</v>
      </c>
      <c r="L17" s="6">
        <f>TRUNC([APLICAÇÃO]  * SETUP!$C$3, 2)</f>
        <v>1.05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17.79</v>
      </c>
      <c r="P17" s="6">
        <f>TRUNC([APLICAÇÃO] * 2  * SETUP!$A$3, 2)</f>
        <v>1.1200000000000001</v>
      </c>
      <c r="Q17" s="6">
        <f>TRUNC([APLICAÇÃO] * 2  * SETUP!$B$3, 2)</f>
        <v>0.83</v>
      </c>
      <c r="R17" s="6">
        <f>TRUNC([APLICAÇÃO] * 2  * SETUP!$C$3, 2)</f>
        <v>2.11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19.830000000000002</v>
      </c>
      <c r="V17" s="6">
        <f>((([APLICAÇÃO] * 2) - [TAXA VD]) - ([APLICAÇÃO] + [TAXA CP])) * 0.85</f>
        <v>1261.3915</v>
      </c>
      <c r="W17" s="6">
        <f>IF([LUCRO] &lt; 0, 0, ROUND([LUCRO]*80%, 2))</f>
        <v>0</v>
      </c>
      <c r="X17" s="6">
        <f>[LUCRO]-[PROTEÇÃO MÊS]</f>
        <v>0</v>
      </c>
      <c r="Y17" s="6">
        <f>SUMPRODUCT(N([TRADE] &lt;= Tabela13[[#This Row],[TRADE]]), [PROTEÇÃO MÊS]) - [APORTE RF]</f>
        <v>325.60000000000002</v>
      </c>
      <c r="Z17" s="6">
        <f>[TOT RF] + [REINVESTIR] + [APLICAÇÃO]</f>
        <v>1847.21</v>
      </c>
    </row>
    <row r="18" spans="1:26">
      <c r="A18" s="1">
        <v>17</v>
      </c>
      <c r="B18" s="5">
        <v>41487</v>
      </c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1600</v>
      </c>
      <c r="I18" s="6">
        <f>[MONTANTE] - SUMPRODUCT(N([TRADE] &lt;= Tabela134[[#This Row],[TRADE]]), [SAQUE]) + SUMPRODUCT(N([TRADE] &lt; Tabela134[[#This Row],[TRADE]]), [REINVESTIR])</f>
        <v>1621.61</v>
      </c>
      <c r="J18" s="6">
        <f>TRUNC([APLICAÇÃO]  * SETUP!$A$3, 2)</f>
        <v>0.59</v>
      </c>
      <c r="K18" s="6">
        <f>TRUNC([APLICAÇÃO]  * SETUP!$B$3, 2)</f>
        <v>0.44</v>
      </c>
      <c r="L18" s="6">
        <f>TRUNC([APLICAÇÃO]  * SETUP!$C$3, 2)</f>
        <v>1.1200000000000001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17.920000000000002</v>
      </c>
      <c r="P18" s="6">
        <f>TRUNC([APLICAÇÃO] * 2  * SETUP!$A$3, 2)</f>
        <v>1.19</v>
      </c>
      <c r="Q18" s="6">
        <f>TRUNC([APLICAÇÃO] * 2  * SETUP!$B$3, 2)</f>
        <v>0.89</v>
      </c>
      <c r="R18" s="6">
        <f>TRUNC([APLICAÇÃO] * 2  * SETUP!$C$3, 2)</f>
        <v>2.25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20.100000000000001</v>
      </c>
      <c r="V18" s="6">
        <f>((([APLICAÇÃO] * 2) - [TAXA VD]) - ([APLICAÇÃO] + [TAXA CP])) * 0.85</f>
        <v>1346.0514999999998</v>
      </c>
      <c r="W18" s="6">
        <f>IF([LUCRO] &lt; 0, 0, ROUND([LUCRO]*80%, 2))</f>
        <v>0</v>
      </c>
      <c r="X18" s="6">
        <f>[LUCRO]-[PROTEÇÃO MÊS]</f>
        <v>0</v>
      </c>
      <c r="Y18" s="6">
        <f>SUMPRODUCT(N([TRADE] &lt;= Tabela13[[#This Row],[TRADE]]), [PROTEÇÃO MÊS]) - [APORTE RF]</f>
        <v>325.60000000000002</v>
      </c>
      <c r="Z18" s="6">
        <f>[TOT RF] + [REINVESTIR] + [APLICAÇÃO]</f>
        <v>1947.21</v>
      </c>
    </row>
    <row r="19" spans="1:26">
      <c r="A19" s="1">
        <v>18</v>
      </c>
      <c r="B19" s="5">
        <v>41518</v>
      </c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1700</v>
      </c>
      <c r="I19" s="6">
        <f>[MONTANTE] - SUMPRODUCT(N([TRADE] &lt;= Tabela134[[#This Row],[TRADE]]), [SAQUE]) + SUMPRODUCT(N([TRADE] &lt; Tabela134[[#This Row],[TRADE]]), [REINVESTIR])</f>
        <v>1721.61</v>
      </c>
      <c r="J19" s="6">
        <f>TRUNC([APLICAÇÃO]  * SETUP!$A$3, 2)</f>
        <v>0.63</v>
      </c>
      <c r="K19" s="6">
        <f>TRUNC([APLICAÇÃO]  * SETUP!$B$3, 2)</f>
        <v>0.47</v>
      </c>
      <c r="L19" s="6">
        <f>TRUNC([APLICAÇÃO]  * SETUP!$C$3, 2)</f>
        <v>1.19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18.060000000000002</v>
      </c>
      <c r="P19" s="6">
        <f>TRUNC([APLICAÇÃO] * 2  * SETUP!$A$3, 2)</f>
        <v>1.27</v>
      </c>
      <c r="Q19" s="6">
        <f>TRUNC([APLICAÇÃO] * 2  * SETUP!$B$3, 2)</f>
        <v>0.94</v>
      </c>
      <c r="R19" s="6">
        <f>TRUNC([APLICAÇÃO] * 2  * SETUP!$C$3, 2)</f>
        <v>2.39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20.37</v>
      </c>
      <c r="V19" s="6">
        <f>((([APLICAÇÃO] * 2) - [TAXA VD]) - ([APLICAÇÃO] + [TAXA CP])) * 0.85</f>
        <v>1430.703</v>
      </c>
      <c r="W19" s="6">
        <f>IF([LUCRO] &lt; 0, 0, ROUND([LUCRO]*80%, 2))</f>
        <v>0</v>
      </c>
      <c r="X19" s="6">
        <f>[LUCRO]-[PROTEÇÃO MÊS]</f>
        <v>0</v>
      </c>
      <c r="Y19" s="6">
        <f>SUMPRODUCT(N([TRADE] &lt;= Tabela13[[#This Row],[TRADE]]), [PROTEÇÃO MÊS]) - [APORTE RF]</f>
        <v>325.60000000000002</v>
      </c>
      <c r="Z19" s="6">
        <f>[TOT RF] + [REINVESTIR] + [APLICAÇÃO]</f>
        <v>2047.21</v>
      </c>
    </row>
    <row r="20" spans="1:26">
      <c r="A20" s="1">
        <v>19</v>
      </c>
      <c r="B20" s="5">
        <v>41548</v>
      </c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1800</v>
      </c>
      <c r="I20" s="6">
        <f>[MONTANTE] - SUMPRODUCT(N([TRADE] &lt;= Tabela134[[#This Row],[TRADE]]), [SAQUE]) + SUMPRODUCT(N([TRADE] &lt; Tabela134[[#This Row],[TRADE]]), [REINVESTIR])</f>
        <v>1821.61</v>
      </c>
      <c r="J20" s="6">
        <f>TRUNC([APLICAÇÃO]  * SETUP!$A$3, 2)</f>
        <v>0.67</v>
      </c>
      <c r="K20" s="6">
        <f>TRUNC([APLICAÇÃO]  * SETUP!$B$3, 2)</f>
        <v>0.5</v>
      </c>
      <c r="L20" s="6">
        <f>TRUNC([APLICAÇÃO]  * SETUP!$C$3, 2)</f>
        <v>1.26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18.2</v>
      </c>
      <c r="P20" s="6">
        <f>TRUNC([APLICAÇÃO] * 2  * SETUP!$A$3, 2)</f>
        <v>1.34</v>
      </c>
      <c r="Q20" s="6">
        <f>TRUNC([APLICAÇÃO] * 2  * SETUP!$B$3, 2)</f>
        <v>1</v>
      </c>
      <c r="R20" s="6">
        <f>TRUNC([APLICAÇÃO] * 2  * SETUP!$C$3, 2)</f>
        <v>2.5299999999999998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20.64</v>
      </c>
      <c r="V20" s="6">
        <f>((([APLICAÇÃO] * 2) - [TAXA VD]) - ([APLICAÇÃO] + [TAXA CP])) * 0.85</f>
        <v>1515.3544999999999</v>
      </c>
      <c r="W20" s="6">
        <f>IF([LUCRO] &lt; 0, 0, ROUND([LUCRO]*80%, 2))</f>
        <v>0</v>
      </c>
      <c r="X20" s="6">
        <f>[LUCRO]-[PROTEÇÃO MÊS]</f>
        <v>0</v>
      </c>
      <c r="Y20" s="6">
        <f>SUMPRODUCT(N([TRADE] &lt;= Tabela13[[#This Row],[TRADE]]), [PROTEÇÃO MÊS]) - [APORTE RF]</f>
        <v>325.60000000000002</v>
      </c>
      <c r="Z20" s="6">
        <f>[TOT RF] + [REINVESTIR] + [APLICAÇÃO]</f>
        <v>2147.21</v>
      </c>
    </row>
    <row r="21" spans="1:26">
      <c r="A21" s="1">
        <v>20</v>
      </c>
      <c r="B21" s="5">
        <v>41579</v>
      </c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1900</v>
      </c>
      <c r="I21" s="6">
        <f>[MONTANTE] - SUMPRODUCT(N([TRADE] &lt;= Tabela134[[#This Row],[TRADE]]), [SAQUE]) + SUMPRODUCT(N([TRADE] &lt; Tabela134[[#This Row],[TRADE]]), [REINVESTIR])</f>
        <v>1921.61</v>
      </c>
      <c r="J21" s="6">
        <f>TRUNC([APLICAÇÃO]  * SETUP!$A$3, 2)</f>
        <v>0.71</v>
      </c>
      <c r="K21" s="6">
        <f>TRUNC([APLICAÇÃO]  * SETUP!$B$3, 2)</f>
        <v>0.52</v>
      </c>
      <c r="L21" s="6">
        <f>TRUNC([APLICAÇÃO]  * SETUP!$C$3, 2)</f>
        <v>1.33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18.330000000000002</v>
      </c>
      <c r="P21" s="6">
        <f>TRUNC([APLICAÇÃO] * 2  * SETUP!$A$3, 2)</f>
        <v>1.42</v>
      </c>
      <c r="Q21" s="6">
        <f>TRUNC([APLICAÇÃO] * 2  * SETUP!$B$3, 2)</f>
        <v>1.05</v>
      </c>
      <c r="R21" s="6">
        <f>TRUNC([APLICAÇÃO] * 2  * SETUP!$C$3, 2)</f>
        <v>2.67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20.91</v>
      </c>
      <c r="V21" s="6">
        <f>((([APLICAÇÃO] * 2) - [TAXA VD]) - ([APLICAÇÃO] + [TAXA CP])) * 0.85</f>
        <v>1600.0145</v>
      </c>
      <c r="W21" s="6">
        <f>IF([LUCRO] &lt; 0, 0, ROUND([LUCRO]*80%, 2))</f>
        <v>0</v>
      </c>
      <c r="X21" s="6">
        <f>[LUCRO]-[PROTEÇÃO MÊS]</f>
        <v>0</v>
      </c>
      <c r="Y21" s="6">
        <f>SUMPRODUCT(N([TRADE] &lt;= Tabela13[[#This Row],[TRADE]]), [PROTEÇÃO MÊS]) - [APORTE RF]</f>
        <v>325.60000000000002</v>
      </c>
      <c r="Z21" s="6">
        <f>[TOT RF] + [REINVESTIR] + [APLICAÇÃO]</f>
        <v>2247.21</v>
      </c>
    </row>
    <row r="22" spans="1:26">
      <c r="A22" s="1">
        <v>21</v>
      </c>
      <c r="B22" s="5">
        <v>41609</v>
      </c>
      <c r="C22" s="18"/>
      <c r="D22" s="18"/>
      <c r="E22" s="18"/>
      <c r="F22" s="18"/>
      <c r="G22" s="19">
        <f>100</f>
        <v>100</v>
      </c>
      <c r="H22" s="19">
        <f>SUMPRODUCT(N([TRADE] &lt;= Tabela134[[#This Row],[TRADE]]), [APORTE]) + SUMPRODUCT(N([TRADE] &lt;= Tabela134[[#This Row],[TRADE]]), [APORTE RF])</f>
        <v>2000</v>
      </c>
      <c r="I22" s="19">
        <f>[MONTANTE] - SUMPRODUCT(N([TRADE] &lt;= Tabela134[[#This Row],[TRADE]]), [SAQUE]) + SUMPRODUCT(N([TRADE] &lt; Tabela134[[#This Row],[TRADE]]), [REINVESTIR])</f>
        <v>2021.61</v>
      </c>
      <c r="J22" s="19">
        <f>TRUNC([APLICAÇÃO]  * SETUP!$A$3, 2)</f>
        <v>0.74</v>
      </c>
      <c r="K22" s="19">
        <f>TRUNC([APLICAÇÃO]  * SETUP!$B$3, 2)</f>
        <v>0.55000000000000004</v>
      </c>
      <c r="L22" s="19">
        <f>TRUNC([APLICAÇÃO]  * SETUP!$C$3, 2)</f>
        <v>1.4</v>
      </c>
      <c r="M22" s="19">
        <f>TRUNC(SETUP!$G$3  * SETUP!$H$3, 2)</f>
        <v>0.28999999999999998</v>
      </c>
      <c r="N22" s="19">
        <f>ROUND(SETUP!$G$3 * SETUP!$I$3, 2)</f>
        <v>0.57999999999999996</v>
      </c>
      <c r="O22" s="19">
        <f>SETUP!$G$3 + SUM(Tabela134[[#This Row],[EMOL CP]]:Tabela134[[#This Row],[OUTRAS CP]])</f>
        <v>18.46</v>
      </c>
      <c r="P22" s="19">
        <f>TRUNC([APLICAÇÃO] * 2  * SETUP!$A$3, 2)</f>
        <v>1.49</v>
      </c>
      <c r="Q22" s="19">
        <f>TRUNC([APLICAÇÃO] * 2  * SETUP!$B$3, 2)</f>
        <v>1.1100000000000001</v>
      </c>
      <c r="R22" s="19">
        <f>TRUNC([APLICAÇÃO] * 2  * SETUP!$C$3, 2)</f>
        <v>2.81</v>
      </c>
      <c r="S22" s="19">
        <f>TRUNC(SETUP!$G$3  * SETUP!$H$3, 2)</f>
        <v>0.28999999999999998</v>
      </c>
      <c r="T22" s="19">
        <f>ROUND(SETUP!$G$3 * SETUP!$I$3, 2)</f>
        <v>0.57999999999999996</v>
      </c>
      <c r="U22" s="19">
        <f>SETUP!$G$3 + SUM(Tabela134[[#This Row],[EMOL VD]]:Tabela134[[#This Row],[OUTRAS VD]])</f>
        <v>21.18</v>
      </c>
      <c r="V22" s="19">
        <f>((([APLICAÇÃO] * 2) - [TAXA VD]) - ([APLICAÇÃO] + [TAXA CP])) * 0.85</f>
        <v>1684.6745000000001</v>
      </c>
      <c r="W22" s="19">
        <f>IF([LUCRO] &lt; 0, 0, ROUND([LUCRO]*80%, 2))</f>
        <v>0</v>
      </c>
      <c r="X22" s="19">
        <f>[LUCRO]-[PROTEÇÃO MÊS]</f>
        <v>0</v>
      </c>
      <c r="Y22" s="19">
        <f>SUMPRODUCT(N([TRADE] &lt;= Tabela13[[#This Row],[TRADE]]), [PROTEÇÃO MÊS]) - [APORTE RF]</f>
        <v>325.60000000000002</v>
      </c>
      <c r="Z22" s="19">
        <f>[TOT RF] + [REINVESTIR] + [APLICAÇÃO]</f>
        <v>2347.21</v>
      </c>
    </row>
    <row r="23" spans="1:26">
      <c r="A23" s="1">
        <v>22</v>
      </c>
      <c r="B23" s="5">
        <v>41640</v>
      </c>
      <c r="C23" s="3"/>
      <c r="D23" s="3"/>
      <c r="E23" s="3"/>
      <c r="G23" s="6">
        <f>100</f>
        <v>100</v>
      </c>
      <c r="H23" s="6">
        <f>SUMPRODUCT(N([TRADE] &lt;= Tabela134[[#This Row],[TRADE]]), [APORTE]) + SUMPRODUCT(N([TRADE] &lt;= Tabela134[[#This Row],[TRADE]]), [APORTE RF])</f>
        <v>2100</v>
      </c>
      <c r="I23" s="6">
        <f>[MONTANTE] - SUMPRODUCT(N([TRADE] &lt;= Tabela134[[#This Row],[TRADE]]), [SAQUE]) + SUMPRODUCT(N([TRADE] &lt; Tabela134[[#This Row],[TRADE]]), [REINVESTIR])</f>
        <v>2121.61</v>
      </c>
      <c r="J23" s="6">
        <f>TRUNC([APLICAÇÃO]  * SETUP!$A$3, 2)</f>
        <v>0.78</v>
      </c>
      <c r="K23" s="6">
        <f>TRUNC([APLICAÇÃO]  * SETUP!$B$3, 2)</f>
        <v>0.57999999999999996</v>
      </c>
      <c r="L23" s="6">
        <f>TRUNC([APLICAÇÃO]  * SETUP!$C$3, 2)</f>
        <v>1.47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18.600000000000001</v>
      </c>
      <c r="P23" s="6">
        <f>TRUNC([APLICAÇÃO] * 2  * SETUP!$A$3, 2)</f>
        <v>1.56</v>
      </c>
      <c r="Q23" s="6">
        <f>TRUNC([APLICAÇÃO] * 2  * SETUP!$B$3, 2)</f>
        <v>1.1599999999999999</v>
      </c>
      <c r="R23" s="6">
        <f>TRUNC([APLICAÇÃO] * 2  * SETUP!$C$3, 2)</f>
        <v>2.94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21.43</v>
      </c>
      <c r="V23" s="6">
        <f>((([APLICAÇÃO] * 2) - [TAXA VD]) - ([APLICAÇÃO] + [TAXA CP])) * 0.85</f>
        <v>1769.3429999999998</v>
      </c>
      <c r="W23" s="6">
        <f>IF([LUCRO] &lt; 0, 0, ROUND([LUCRO]*80%, 2))</f>
        <v>0</v>
      </c>
      <c r="X23" s="6">
        <f>[LUCRO]-[PROTEÇÃO MÊS]</f>
        <v>0</v>
      </c>
      <c r="Y23" s="6">
        <f>SUMPRODUCT(N([TRADE] &lt;= Tabela13[[#This Row],[TRADE]]), [PROTEÇÃO MÊS]) - [APORTE RF]</f>
        <v>325.60000000000002</v>
      </c>
      <c r="Z23" s="6">
        <f>[TOT RF] + [REINVESTIR] + [APLICAÇÃO]</f>
        <v>2447.21</v>
      </c>
    </row>
    <row r="24" spans="1:26">
      <c r="A24" s="1">
        <v>23</v>
      </c>
      <c r="B24" s="5">
        <v>41671</v>
      </c>
      <c r="C24" s="3"/>
      <c r="D24" s="3"/>
      <c r="E24" s="3"/>
      <c r="G24" s="6">
        <f>100</f>
        <v>100</v>
      </c>
      <c r="H24" s="6">
        <f>SUMPRODUCT(N([TRADE] &lt;= Tabela134[[#This Row],[TRADE]]), [APORTE]) + SUMPRODUCT(N([TRADE] &lt;= Tabela134[[#This Row],[TRADE]]), [APORTE RF])</f>
        <v>2200</v>
      </c>
      <c r="I24" s="6">
        <f>[MONTANTE] - SUMPRODUCT(N([TRADE] &lt;= Tabela134[[#This Row],[TRADE]]), [SAQUE]) + SUMPRODUCT(N([TRADE] &lt; Tabela134[[#This Row],[TRADE]]), [REINVESTIR])</f>
        <v>2221.61</v>
      </c>
      <c r="J24" s="6">
        <f>TRUNC([APLICAÇÃO]  * SETUP!$A$3, 2)</f>
        <v>0.82</v>
      </c>
      <c r="K24" s="6">
        <f>TRUNC([APLICAÇÃO]  * SETUP!$B$3, 2)</f>
        <v>0.61</v>
      </c>
      <c r="L24" s="6">
        <f>TRUNC([APLICAÇÃO]  * SETUP!$C$3, 2)</f>
        <v>1.54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18.740000000000002</v>
      </c>
      <c r="P24" s="6">
        <f>TRUNC([APLICAÇÃO] * 2  * SETUP!$A$3, 2)</f>
        <v>1.64</v>
      </c>
      <c r="Q24" s="6">
        <f>TRUNC([APLICAÇÃO] * 2  * SETUP!$B$3, 2)</f>
        <v>1.22</v>
      </c>
      <c r="R24" s="6">
        <f>TRUNC([APLICAÇÃO] * 2  * SETUP!$C$3, 2)</f>
        <v>3.08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21.71</v>
      </c>
      <c r="V24" s="6">
        <f>((([APLICAÇÃO] * 2) - [TAXA VD]) - ([APLICAÇÃO] + [TAXA CP])) * 0.85</f>
        <v>1853.9860000000001</v>
      </c>
      <c r="W24" s="6">
        <f>IF([LUCRO] &lt; 0, 0, ROUND([LUCRO]*80%, 2))</f>
        <v>0</v>
      </c>
      <c r="X24" s="6">
        <f>[LUCRO]-[PROTEÇÃO MÊS]</f>
        <v>0</v>
      </c>
      <c r="Y24" s="6">
        <f>SUMPRODUCT(N([TRADE] &lt;= Tabela13[[#This Row],[TRADE]]), [PROTEÇÃO MÊS]) - [APORTE RF]</f>
        <v>325.60000000000002</v>
      </c>
      <c r="Z24" s="6">
        <f>[TOT RF] + [REINVESTIR] + [APLICAÇÃO]</f>
        <v>2547.21</v>
      </c>
    </row>
    <row r="25" spans="1:26">
      <c r="A25" s="1">
        <v>24</v>
      </c>
      <c r="B25" s="5">
        <v>41699</v>
      </c>
      <c r="C25" s="3"/>
      <c r="D25" s="3"/>
      <c r="E25" s="3"/>
      <c r="G25" s="6">
        <f>100</f>
        <v>100</v>
      </c>
      <c r="H25" s="6">
        <f>SUMPRODUCT(N([TRADE] &lt;= Tabela134[[#This Row],[TRADE]]), [APORTE]) + SUMPRODUCT(N([TRADE] &lt;= Tabela134[[#This Row],[TRADE]]), [APORTE RF])</f>
        <v>2300</v>
      </c>
      <c r="I25" s="6">
        <f>[MONTANTE] - SUMPRODUCT(N([TRADE] &lt;= Tabela134[[#This Row],[TRADE]]), [SAQUE]) + SUMPRODUCT(N([TRADE] &lt; Tabela134[[#This Row],[TRADE]]), [REINVESTIR])</f>
        <v>2321.61</v>
      </c>
      <c r="J25" s="6">
        <f>TRUNC([APLICAÇÃO]  * SETUP!$A$3, 2)</f>
        <v>0.85</v>
      </c>
      <c r="K25" s="6">
        <f>TRUNC([APLICAÇÃO]  * SETUP!$B$3, 2)</f>
        <v>0.63</v>
      </c>
      <c r="L25" s="6">
        <f>TRUNC([APLICAÇÃO]  * SETUP!$C$3, 2)</f>
        <v>1.61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18.86</v>
      </c>
      <c r="P25" s="6">
        <f>TRUNC([APLICAÇÃO] * 2  * SETUP!$A$3, 2)</f>
        <v>1.71</v>
      </c>
      <c r="Q25" s="6">
        <f>TRUNC([APLICAÇÃO] * 2  * SETUP!$B$3, 2)</f>
        <v>1.27</v>
      </c>
      <c r="R25" s="6">
        <f>TRUNC([APLICAÇÃO] * 2  * SETUP!$C$3, 2)</f>
        <v>3.22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21.97</v>
      </c>
      <c r="V25" s="6">
        <f>((([APLICAÇÃO] * 2) - [TAXA VD]) - ([APLICAÇÃO] + [TAXA CP])) * 0.85</f>
        <v>1938.6629999999998</v>
      </c>
      <c r="W25" s="6">
        <f>IF([LUCRO] &lt; 0, 0, ROUND([LUCRO]*80%, 2))</f>
        <v>0</v>
      </c>
      <c r="X25" s="6">
        <f>[LUCRO]-[PROTEÇÃO MÊS]</f>
        <v>0</v>
      </c>
      <c r="Y25" s="6">
        <f>SUMPRODUCT(N([TRADE] &lt;= Tabela13[[#This Row],[TRADE]]), [PROTEÇÃO MÊS]) - [APORTE RF]</f>
        <v>325.60000000000002</v>
      </c>
      <c r="Z25" s="6">
        <f>[TOT RF] + [REINVESTIR] + [APLICAÇÃO]</f>
        <v>2647.21</v>
      </c>
    </row>
    <row r="26" spans="1:26">
      <c r="A26" s="1">
        <v>25</v>
      </c>
      <c r="B26" s="5">
        <v>41730</v>
      </c>
      <c r="C26" s="3"/>
      <c r="D26" s="3"/>
      <c r="E26" s="3"/>
      <c r="G26" s="6">
        <f>100</f>
        <v>100</v>
      </c>
      <c r="H26" s="6">
        <f>SUMPRODUCT(N([TRADE] &lt;= Tabela134[[#This Row],[TRADE]]), [APORTE]) + SUMPRODUCT(N([TRADE] &lt;= Tabela134[[#This Row],[TRADE]]), [APORTE RF])</f>
        <v>2400</v>
      </c>
      <c r="I26" s="6">
        <f>[MONTANTE] - SUMPRODUCT(N([TRADE] &lt;= Tabela134[[#This Row],[TRADE]]), [SAQUE]) + SUMPRODUCT(N([TRADE] &lt; Tabela134[[#This Row],[TRADE]]), [REINVESTIR])</f>
        <v>2421.61</v>
      </c>
      <c r="J26" s="6">
        <f>TRUNC([APLICAÇÃO]  * SETUP!$A$3, 2)</f>
        <v>0.89</v>
      </c>
      <c r="K26" s="6">
        <f>TRUNC([APLICAÇÃO]  * SETUP!$B$3, 2)</f>
        <v>0.66</v>
      </c>
      <c r="L26" s="6">
        <f>TRUNC([APLICAÇÃO]  * SETUP!$C$3, 2)</f>
        <v>1.68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</v>
      </c>
      <c r="P26" s="6">
        <f>TRUNC([APLICAÇÃO] * 2  * SETUP!$A$3, 2)</f>
        <v>1.79</v>
      </c>
      <c r="Q26" s="6">
        <f>TRUNC([APLICAÇÃO] * 2  * SETUP!$B$3, 2)</f>
        <v>1.33</v>
      </c>
      <c r="R26" s="6">
        <f>TRUNC([APLICAÇÃO] * 2  * SETUP!$C$3, 2)</f>
        <v>3.36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22.25</v>
      </c>
      <c r="V26" s="6">
        <f>((([APLICAÇÃO] * 2) - [TAXA VD]) - ([APLICAÇÃO] + [TAXA CP])) * 0.85</f>
        <v>2023.306</v>
      </c>
      <c r="W26" s="6">
        <f>IF([LUCRO] &lt; 0, 0, ROUND([LUCRO]*80%, 2))</f>
        <v>0</v>
      </c>
      <c r="X26" s="6">
        <f>[LUCRO]-[PROTEÇÃO MÊS]</f>
        <v>0</v>
      </c>
      <c r="Y26" s="6">
        <f>SUMPRODUCT(N([TRADE] &lt;= Tabela13[[#This Row],[TRADE]]), [PROTEÇÃO MÊS]) - [APORTE RF]</f>
        <v>325.60000000000002</v>
      </c>
      <c r="Z26" s="6">
        <f>[TOT RF] + [REINVESTIR] + [APLICAÇÃO]</f>
        <v>2747.21</v>
      </c>
    </row>
    <row r="27" spans="1:26">
      <c r="A27" s="1">
        <v>26</v>
      </c>
      <c r="B27" s="5">
        <v>41760</v>
      </c>
      <c r="C27" s="3"/>
      <c r="D27" s="3"/>
      <c r="E27" s="3"/>
      <c r="G27" s="6">
        <f>100</f>
        <v>100</v>
      </c>
      <c r="H27" s="6">
        <f>SUMPRODUCT(N([TRADE] &lt;= Tabela134[[#This Row],[TRADE]]), [APORTE]) + SUMPRODUCT(N([TRADE] &lt;= Tabela134[[#This Row],[TRADE]]), [APORTE RF])</f>
        <v>2500</v>
      </c>
      <c r="I27" s="6">
        <f>[MONTANTE] - SUMPRODUCT(N([TRADE] &lt;= Tabela134[[#This Row],[TRADE]]), [SAQUE]) + SUMPRODUCT(N([TRADE] &lt; Tabela134[[#This Row],[TRADE]]), [REINVESTIR])</f>
        <v>2521.61</v>
      </c>
      <c r="J27" s="6">
        <f>TRUNC([APLICAÇÃO]  * SETUP!$A$3, 2)</f>
        <v>0.93</v>
      </c>
      <c r="K27" s="6">
        <f>TRUNC([APLICAÇÃO]  * SETUP!$B$3, 2)</f>
        <v>0.69</v>
      </c>
      <c r="L27" s="6">
        <f>TRUNC([APLICAÇÃO]  * SETUP!$C$3, 2)</f>
        <v>1.75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19.14</v>
      </c>
      <c r="P27" s="6">
        <f>TRUNC([APLICAÇÃO] * 2  * SETUP!$A$3, 2)</f>
        <v>1.86</v>
      </c>
      <c r="Q27" s="6">
        <f>TRUNC([APLICAÇÃO] * 2  * SETUP!$B$3, 2)</f>
        <v>1.38</v>
      </c>
      <c r="R27" s="6">
        <f>TRUNC([APLICAÇÃO] * 2  * SETUP!$C$3, 2)</f>
        <v>3.5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22.51</v>
      </c>
      <c r="V27" s="6">
        <f>((([APLICAÇÃO] * 2) - [TAXA VD]) - ([APLICAÇÃO] + [TAXA CP])) * 0.85</f>
        <v>2107.9659999999999</v>
      </c>
      <c r="W27" s="6">
        <f>IF([LUCRO] &lt; 0, 0, ROUND([LUCRO]*80%, 2))</f>
        <v>0</v>
      </c>
      <c r="X27" s="6">
        <f>[LUCRO]-[PROTEÇÃO MÊS]</f>
        <v>0</v>
      </c>
      <c r="Y27" s="6">
        <f>SUMPRODUCT(N([TRADE] &lt;= Tabela13[[#This Row],[TRADE]]), [PROTEÇÃO MÊS]) - [APORTE RF]</f>
        <v>325.60000000000002</v>
      </c>
      <c r="Z27" s="6">
        <f>[TOT RF] + [REINVESTIR] + [APLICAÇÃO]</f>
        <v>2847.21</v>
      </c>
    </row>
    <row r="28" spans="1:26">
      <c r="A28" s="1">
        <v>27</v>
      </c>
      <c r="B28" s="5">
        <v>41791</v>
      </c>
      <c r="C28" s="3"/>
      <c r="D28" s="3"/>
      <c r="E28" s="3"/>
      <c r="G28" s="6">
        <f>100</f>
        <v>100</v>
      </c>
      <c r="H28" s="6">
        <f>SUMPRODUCT(N([TRADE] &lt;= Tabela134[[#This Row],[TRADE]]), [APORTE]) + SUMPRODUCT(N([TRADE] &lt;= Tabela134[[#This Row],[TRADE]]), [APORTE RF])</f>
        <v>2600</v>
      </c>
      <c r="I28" s="6">
        <f>[MONTANTE] - SUMPRODUCT(N([TRADE] &lt;= Tabela134[[#This Row],[TRADE]]), [SAQUE]) + SUMPRODUCT(N([TRADE] &lt; Tabela134[[#This Row],[TRADE]]), [REINVESTIR])</f>
        <v>2621.61</v>
      </c>
      <c r="J28" s="6">
        <f>TRUNC([APLICAÇÃO]  * SETUP!$A$3, 2)</f>
        <v>0.96</v>
      </c>
      <c r="K28" s="6">
        <f>TRUNC([APLICAÇÃO]  * SETUP!$B$3, 2)</f>
        <v>0.72</v>
      </c>
      <c r="L28" s="6">
        <f>TRUNC([APLICAÇÃO]  * SETUP!$C$3, 2)</f>
        <v>1.82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19.27</v>
      </c>
      <c r="P28" s="6">
        <f>TRUNC([APLICAÇÃO] * 2  * SETUP!$A$3, 2)</f>
        <v>1.93</v>
      </c>
      <c r="Q28" s="6">
        <f>TRUNC([APLICAÇÃO] * 2  * SETUP!$B$3, 2)</f>
        <v>1.44</v>
      </c>
      <c r="R28" s="6">
        <f>TRUNC([APLICAÇÃO] * 2  * SETUP!$C$3, 2)</f>
        <v>3.64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22.78</v>
      </c>
      <c r="V28" s="6">
        <f>((([APLICAÇÃO] * 2) - [TAXA VD]) - ([APLICAÇÃO] + [TAXA CP])) * 0.85</f>
        <v>2192.6260000000002</v>
      </c>
      <c r="W28" s="6">
        <f>IF([LUCRO] &lt; 0, 0, ROUND([LUCRO]*80%, 2))</f>
        <v>0</v>
      </c>
      <c r="X28" s="6">
        <f>[LUCRO]-[PROTEÇÃO MÊS]</f>
        <v>0</v>
      </c>
      <c r="Y28" s="6">
        <f>SUMPRODUCT(N([TRADE] &lt;= Tabela13[[#This Row],[TRADE]]), [PROTEÇÃO MÊS]) - [APORTE RF]</f>
        <v>325.60000000000002</v>
      </c>
      <c r="Z28" s="6">
        <f>[TOT RF] + [REINVESTIR] + [APLICAÇÃO]</f>
        <v>2947.21</v>
      </c>
    </row>
    <row r="29" spans="1:26">
      <c r="A29" s="1">
        <v>28</v>
      </c>
      <c r="B29" s="5">
        <v>41821</v>
      </c>
      <c r="C29" s="3"/>
      <c r="D29" s="3"/>
      <c r="E29" s="3"/>
      <c r="G29" s="6">
        <f>100</f>
        <v>100</v>
      </c>
      <c r="H29" s="6">
        <f>SUMPRODUCT(N([TRADE] &lt;= Tabela134[[#This Row],[TRADE]]), [APORTE]) + SUMPRODUCT(N([TRADE] &lt;= Tabela134[[#This Row],[TRADE]]), [APORTE RF])</f>
        <v>2700</v>
      </c>
      <c r="I29" s="6">
        <f>[MONTANTE] - SUMPRODUCT(N([TRADE] &lt;= Tabela134[[#This Row],[TRADE]]), [SAQUE]) + SUMPRODUCT(N([TRADE] &lt; Tabela134[[#This Row],[TRADE]]), [REINVESTIR])</f>
        <v>2721.61</v>
      </c>
      <c r="J29" s="6">
        <f>TRUNC([APLICAÇÃO]  * SETUP!$A$3, 2)</f>
        <v>1</v>
      </c>
      <c r="K29" s="6">
        <f>TRUNC([APLICAÇÃO]  * SETUP!$B$3, 2)</f>
        <v>0.74</v>
      </c>
      <c r="L29" s="6">
        <f>TRUNC([APLICAÇÃO]  * SETUP!$C$3, 2)</f>
        <v>1.89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19.399999999999999</v>
      </c>
      <c r="P29" s="6">
        <f>TRUNC([APLICAÇÃO] * 2  * SETUP!$A$3, 2)</f>
        <v>2.0099999999999998</v>
      </c>
      <c r="Q29" s="6">
        <f>TRUNC([APLICAÇÃO] * 2  * SETUP!$B$3, 2)</f>
        <v>1.49</v>
      </c>
      <c r="R29" s="6">
        <f>TRUNC([APLICAÇÃO] * 2  * SETUP!$C$3, 2)</f>
        <v>3.78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23.049999999999997</v>
      </c>
      <c r="V29" s="6">
        <f>((([APLICAÇÃO] * 2) - [TAXA VD]) - ([APLICAÇÃO] + [TAXA CP])) * 0.85</f>
        <v>2277.2859999999996</v>
      </c>
      <c r="W29" s="6">
        <f>IF([LUCRO] &lt; 0, 0, ROUND([LUCRO]*80%, 2))</f>
        <v>0</v>
      </c>
      <c r="X29" s="6">
        <f>[LUCRO]-[PROTEÇÃO MÊS]</f>
        <v>0</v>
      </c>
      <c r="Y29" s="6">
        <f>SUMPRODUCT(N([TRADE] &lt;= Tabela13[[#This Row],[TRADE]]), [PROTEÇÃO MÊS]) - [APORTE RF]</f>
        <v>325.60000000000002</v>
      </c>
      <c r="Z29" s="6">
        <f>[TOT RF] + [REINVESTIR] + [APLICAÇÃO]</f>
        <v>3047.21</v>
      </c>
    </row>
    <row r="30" spans="1:26">
      <c r="A30" s="1">
        <v>29</v>
      </c>
      <c r="B30" s="5">
        <v>41852</v>
      </c>
      <c r="C30" s="18"/>
      <c r="D30" s="18"/>
      <c r="E30" s="18"/>
      <c r="F30" s="18"/>
      <c r="G30" s="19">
        <f>100</f>
        <v>100</v>
      </c>
      <c r="H30" s="19">
        <f>SUMPRODUCT(N([TRADE] &lt;= Tabela134[[#This Row],[TRADE]]), [APORTE]) + SUMPRODUCT(N([TRADE] &lt;= Tabela134[[#This Row],[TRADE]]), [APORTE RF])</f>
        <v>2800</v>
      </c>
      <c r="I30" s="19">
        <f>[MONTANTE] - SUMPRODUCT(N([TRADE] &lt;= Tabela134[[#This Row],[TRADE]]), [SAQUE]) + SUMPRODUCT(N([TRADE] &lt; Tabela134[[#This Row],[TRADE]]), [REINVESTIR])</f>
        <v>2821.61</v>
      </c>
      <c r="J30" s="19">
        <f>TRUNC([APLICAÇÃO]  * SETUP!$A$3, 2)</f>
        <v>1.04</v>
      </c>
      <c r="K30" s="19">
        <f>TRUNC([APLICAÇÃO]  * SETUP!$B$3, 2)</f>
        <v>0.77</v>
      </c>
      <c r="L30" s="19">
        <f>TRUNC([APLICAÇÃO]  * SETUP!$C$3, 2)</f>
        <v>1.96</v>
      </c>
      <c r="M30" s="19">
        <f>TRUNC(SETUP!$G$3  * SETUP!$H$3, 2)</f>
        <v>0.28999999999999998</v>
      </c>
      <c r="N30" s="19">
        <f>ROUND(SETUP!$G$3 * SETUP!$I$3, 2)</f>
        <v>0.57999999999999996</v>
      </c>
      <c r="O30" s="19">
        <f>SETUP!$G$3 + SUM(Tabela134[[#This Row],[EMOL CP]]:Tabela134[[#This Row],[OUTRAS CP]])</f>
        <v>19.54</v>
      </c>
      <c r="P30" s="19">
        <f>TRUNC([APLICAÇÃO] * 2  * SETUP!$A$3, 2)</f>
        <v>2.08</v>
      </c>
      <c r="Q30" s="19">
        <f>TRUNC([APLICAÇÃO] * 2  * SETUP!$B$3, 2)</f>
        <v>1.55</v>
      </c>
      <c r="R30" s="19">
        <f>TRUNC([APLICAÇÃO] * 2  * SETUP!$C$3, 2)</f>
        <v>3.92</v>
      </c>
      <c r="S30" s="19">
        <f>TRUNC(SETUP!$G$3  * SETUP!$H$3, 2)</f>
        <v>0.28999999999999998</v>
      </c>
      <c r="T30" s="19">
        <f>ROUND(SETUP!$G$3 * SETUP!$I$3, 2)</f>
        <v>0.57999999999999996</v>
      </c>
      <c r="U30" s="19">
        <f>SETUP!$G$3 + SUM(Tabela134[[#This Row],[EMOL VD]]:Tabela134[[#This Row],[OUTRAS VD]])</f>
        <v>23.32</v>
      </c>
      <c r="V30" s="19">
        <f>((([APLICAÇÃO] * 2) - [TAXA VD]) - ([APLICAÇÃO] + [TAXA CP])) * 0.85</f>
        <v>2361.9375000000005</v>
      </c>
      <c r="W30" s="19">
        <f>IF([LUCRO] &lt; 0, 0, ROUND([LUCRO]*80%, 2))</f>
        <v>0</v>
      </c>
      <c r="X30" s="19">
        <f>[LUCRO]-[PROTEÇÃO MÊS]</f>
        <v>0</v>
      </c>
      <c r="Y30" s="19">
        <f>SUMPRODUCT(N([TRADE] &lt;= Tabela13[[#This Row],[TRADE]]), [PROTEÇÃO MÊS]) - [APORTE RF]</f>
        <v>325.60000000000002</v>
      </c>
      <c r="Z30" s="19">
        <f>[TOT RF] + [REINVESTIR] + [APLICAÇÃO]</f>
        <v>3147.21</v>
      </c>
    </row>
    <row r="31" spans="1:26">
      <c r="A31" s="1">
        <v>30</v>
      </c>
      <c r="B31" s="5">
        <v>41883</v>
      </c>
      <c r="C31" s="18"/>
      <c r="D31" s="18"/>
      <c r="E31" s="18"/>
      <c r="F31" s="18"/>
      <c r="G31" s="19">
        <f>100</f>
        <v>100</v>
      </c>
      <c r="H31" s="19">
        <f>SUMPRODUCT(N([TRADE] &lt;= Tabela134[[#This Row],[TRADE]]), [APORTE]) + SUMPRODUCT(N([TRADE] &lt;= Tabela134[[#This Row],[TRADE]]), [APORTE RF])</f>
        <v>2900</v>
      </c>
      <c r="I31" s="19">
        <f>[MONTANTE] - SUMPRODUCT(N([TRADE] &lt;= Tabela134[[#This Row],[TRADE]]), [SAQUE]) + SUMPRODUCT(N([TRADE] &lt; Tabela134[[#This Row],[TRADE]]), [REINVESTIR])</f>
        <v>2921.61</v>
      </c>
      <c r="J31" s="19">
        <f>TRUNC([APLICAÇÃO]  * SETUP!$A$3, 2)</f>
        <v>1.08</v>
      </c>
      <c r="K31" s="19">
        <f>TRUNC([APLICAÇÃO]  * SETUP!$B$3, 2)</f>
        <v>0.8</v>
      </c>
      <c r="L31" s="19">
        <f>TRUNC([APLICAÇÃO]  * SETUP!$C$3, 2)</f>
        <v>2.0299999999999998</v>
      </c>
      <c r="M31" s="19">
        <f>TRUNC(SETUP!$G$3  * SETUP!$H$3, 2)</f>
        <v>0.28999999999999998</v>
      </c>
      <c r="N31" s="19">
        <f>ROUND(SETUP!$G$3 * SETUP!$I$3, 2)</f>
        <v>0.57999999999999996</v>
      </c>
      <c r="O31" s="19">
        <f>SETUP!$G$3 + SUM(Tabela134[[#This Row],[EMOL CP]]:Tabela134[[#This Row],[OUTRAS CP]])</f>
        <v>19.68</v>
      </c>
      <c r="P31" s="19">
        <f>TRUNC([APLICAÇÃO] * 2  * SETUP!$A$3, 2)</f>
        <v>2.16</v>
      </c>
      <c r="Q31" s="19">
        <f>TRUNC([APLICAÇÃO] * 2  * SETUP!$B$3, 2)</f>
        <v>1.6</v>
      </c>
      <c r="R31" s="19">
        <f>TRUNC([APLICAÇÃO] * 2  * SETUP!$C$3, 2)</f>
        <v>4.0599999999999996</v>
      </c>
      <c r="S31" s="19">
        <f>TRUNC(SETUP!$G$3  * SETUP!$H$3, 2)</f>
        <v>0.28999999999999998</v>
      </c>
      <c r="T31" s="19">
        <f>ROUND(SETUP!$G$3 * SETUP!$I$3, 2)</f>
        <v>0.57999999999999996</v>
      </c>
      <c r="U31" s="19">
        <f>SETUP!$G$3 + SUM(Tabela134[[#This Row],[EMOL VD]]:Tabela134[[#This Row],[OUTRAS VD]])</f>
        <v>23.59</v>
      </c>
      <c r="V31" s="19">
        <f>((([APLICAÇÃO] * 2) - [TAXA VD]) - ([APLICAÇÃO] + [TAXA CP])) * 0.85</f>
        <v>2446.5889999999999</v>
      </c>
      <c r="W31" s="19">
        <f>IF([LUCRO] &lt; 0, 0, ROUND([LUCRO]*80%, 2))</f>
        <v>0</v>
      </c>
      <c r="X31" s="19">
        <f>[LUCRO]-[PROTEÇÃO MÊS]</f>
        <v>0</v>
      </c>
      <c r="Y31" s="19">
        <f>SUMPRODUCT(N([TRADE] &lt;= Tabela13[[#This Row],[TRADE]]), [PROTEÇÃO MÊS]) - [APORTE RF]</f>
        <v>325.60000000000002</v>
      </c>
      <c r="Z31" s="19">
        <f>[TOT RF] + [REINVESTIR] + [APLICAÇÃO]</f>
        <v>3247.21</v>
      </c>
    </row>
    <row r="32" spans="1:26">
      <c r="A32" s="49" t="s">
        <v>35</v>
      </c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E5" sqref="E5"/>
    </sheetView>
  </sheetViews>
  <sheetFormatPr defaultRowHeight="11.25"/>
  <cols>
    <col min="1" max="1" width="10" style="21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2" bestFit="1" customWidth="1"/>
    <col min="7" max="7" width="15.140625" style="1" bestFit="1" customWidth="1"/>
    <col min="8" max="8" width="12.28515625" style="1" bestFit="1" customWidth="1"/>
    <col min="9" max="9" width="13.5703125" style="1" bestFit="1" customWidth="1"/>
    <col min="10" max="10" width="9.85546875" style="1" bestFit="1" customWidth="1"/>
    <col min="11" max="16384" width="9.140625" style="1"/>
  </cols>
  <sheetData>
    <row r="1" spans="1:10" s="22" customFormat="1" ht="12" thickBot="1">
      <c r="A1" s="29" t="s">
        <v>2</v>
      </c>
      <c r="B1" s="30" t="s">
        <v>37</v>
      </c>
      <c r="C1" s="30" t="s">
        <v>38</v>
      </c>
      <c r="D1" s="31" t="s">
        <v>39</v>
      </c>
      <c r="E1" s="31" t="s">
        <v>40</v>
      </c>
      <c r="F1" s="30" t="s">
        <v>41</v>
      </c>
      <c r="G1" s="30" t="s">
        <v>42</v>
      </c>
      <c r="H1" s="30" t="s">
        <v>47</v>
      </c>
      <c r="I1" s="30" t="s">
        <v>48</v>
      </c>
      <c r="J1" s="30" t="s">
        <v>32</v>
      </c>
    </row>
    <row r="2" spans="1:10" ht="12" thickTop="1">
      <c r="A2" s="32">
        <f>VOLATILIDADE!B2</f>
        <v>41000</v>
      </c>
      <c r="B2" s="33">
        <f>Tabela13[PROTEÇÃO MÊS]+Tabela134[PROTEÇÃO MÊS]+Tabela1[PROTEÇÃO MÊS]</f>
        <v>293.5</v>
      </c>
      <c r="C2" s="3">
        <v>0</v>
      </c>
      <c r="D2" s="34">
        <f>C2*25%</f>
        <v>0</v>
      </c>
      <c r="E2" s="33">
        <f>B2+D2</f>
        <v>293.5</v>
      </c>
      <c r="F2" s="41">
        <f>Tabela1[TOT RF]+Tabela134[TOT RF]+Tabela13[TOT RF]+SUM($D$2:$D2)</f>
        <v>293.5</v>
      </c>
      <c r="G2" s="33">
        <f>Tabela1[PATRIMÔNIO]+Tabela13[PATRIMÔNIO]</f>
        <v>466.88</v>
      </c>
      <c r="H2" s="4">
        <f>IF((F2-E2) &gt; 0, E2/(F2-E2), 0)</f>
        <v>0</v>
      </c>
      <c r="I2" s="4">
        <f>F2/G2</f>
        <v>0.6286411925976696</v>
      </c>
      <c r="J2" s="13">
        <f>-(1-I2)</f>
        <v>-0.3713588074023304</v>
      </c>
    </row>
    <row r="3" spans="1:10">
      <c r="A3" s="32">
        <f>VOLATILIDADE!B3</f>
        <v>41030</v>
      </c>
      <c r="B3" s="33">
        <f>Tabela13[PROTEÇÃO MÊS]+Tabela134[PROTEÇÃO MÊS]+Tabela1[PROTEÇÃO MÊS]</f>
        <v>393.25</v>
      </c>
      <c r="C3" s="3">
        <v>64.180000000000007</v>
      </c>
      <c r="D3" s="34">
        <f>C3*25%</f>
        <v>16.045000000000002</v>
      </c>
      <c r="E3" s="33">
        <f>B3+D3</f>
        <v>409.29500000000002</v>
      </c>
      <c r="F3" s="41">
        <f>Tabela1[TOT RF]+Tabela134[TOT RF]+Tabela13[TOT RF]+SUM($D$2:$D3)</f>
        <v>702.79499999999996</v>
      </c>
      <c r="G3" s="33">
        <f>Tabela1[PATRIMÔNIO]+Tabela13[PATRIMÔNIO]</f>
        <v>1758.44</v>
      </c>
      <c r="H3" s="4">
        <f t="shared" ref="H3:H31" si="0">IF((F3-E3) &gt; 0, E3/(F3-E3), 0)</f>
        <v>1.3945315161839866</v>
      </c>
      <c r="I3" s="4">
        <f t="shared" ref="I3:I31" si="1">F3/G3</f>
        <v>0.39966959350333248</v>
      </c>
      <c r="J3" s="13">
        <f t="shared" ref="J3:J31" si="2">-(1-I3)</f>
        <v>-0.60033040649666747</v>
      </c>
    </row>
    <row r="4" spans="1:10">
      <c r="A4" s="32">
        <f>VOLATILIDADE!B4</f>
        <v>41061</v>
      </c>
      <c r="B4" s="33">
        <f>Tabela13[PROTEÇÃO MÊS]+Tabela134[PROTEÇÃO MÊS]+Tabela1[PROTEÇÃO MÊS]</f>
        <v>1037.6199999999999</v>
      </c>
      <c r="C4" s="3">
        <v>0</v>
      </c>
      <c r="D4" s="34">
        <f>C4*25%</f>
        <v>0</v>
      </c>
      <c r="E4" s="33">
        <f>B4+D4</f>
        <v>1037.6199999999999</v>
      </c>
      <c r="F4" s="41">
        <f>Tabela1[TOT RF]+Tabela134[TOT RF]+Tabela13[TOT RF]+SUM($D$2:$D4)</f>
        <v>1740.415</v>
      </c>
      <c r="G4" s="33">
        <f>Tabela1[PATRIMÔNIO]+Tabela13[PATRIMÔNIO]</f>
        <v>3555.46</v>
      </c>
      <c r="H4" s="4">
        <f t="shared" si="0"/>
        <v>1.4764191549456098</v>
      </c>
      <c r="I4" s="4">
        <f t="shared" si="1"/>
        <v>0.48950487419349392</v>
      </c>
      <c r="J4" s="13">
        <f t="shared" si="2"/>
        <v>-0.51049512580650602</v>
      </c>
    </row>
    <row r="5" spans="1:10">
      <c r="A5" s="32">
        <f>VOLATILIDADE!B5</f>
        <v>41091</v>
      </c>
      <c r="B5" s="33">
        <f>Tabela13[PROTEÇÃO MÊS]+Tabela134[PROTEÇÃO MÊS]+Tabela1[PROTEÇÃO MÊS]</f>
        <v>648.07000000000005</v>
      </c>
      <c r="C5" s="3">
        <v>0</v>
      </c>
      <c r="D5" s="34">
        <f>C5*25%</f>
        <v>0</v>
      </c>
      <c r="E5" s="33">
        <f>B5+D5</f>
        <v>648.07000000000005</v>
      </c>
      <c r="F5" s="41">
        <f>Tabela1[TOT RF]+Tabela134[TOT RF]+Tabela13[TOT RF]+SUM($D$2:$D5)</f>
        <v>2388.4849999999997</v>
      </c>
      <c r="G5" s="33">
        <f>Tabela1[PATRIMÔNIO]+Tabela13[PATRIMÔNIO]</f>
        <v>3532.75</v>
      </c>
      <c r="H5" s="4">
        <f t="shared" si="0"/>
        <v>0.37236521174547466</v>
      </c>
      <c r="I5" s="4">
        <f t="shared" si="1"/>
        <v>0.67609794069775664</v>
      </c>
      <c r="J5" s="13">
        <f t="shared" si="2"/>
        <v>-0.32390205930224336</v>
      </c>
    </row>
    <row r="6" spans="1:10">
      <c r="A6" s="32">
        <f>VOLATILIDADE!B6</f>
        <v>41122</v>
      </c>
      <c r="B6" s="33">
        <f>Tabela13[PROTEÇÃO MÊS]+Tabela134[PROTEÇÃO MÊS]+Tabela1[PROTEÇÃO MÊS]</f>
        <v>6730.29</v>
      </c>
      <c r="C6" s="3">
        <v>0</v>
      </c>
      <c r="D6" s="34">
        <f t="shared" ref="D6:D22" si="3">C6*25%</f>
        <v>0</v>
      </c>
      <c r="E6" s="33">
        <f t="shared" ref="E6:E10" si="4">B6+D6</f>
        <v>6730.29</v>
      </c>
      <c r="F6" s="41">
        <f>Tabela1[TOT RF]+Tabela134[TOT RF]+Tabela13[TOT RF]+SUM($D$2:$D6)</f>
        <v>9118.7750000000015</v>
      </c>
      <c r="G6" s="33">
        <f>Tabela1[PATRIMÔNIO]+Tabela13[PATRIMÔNIO]</f>
        <v>12969.01</v>
      </c>
      <c r="H6" s="4">
        <f t="shared" si="0"/>
        <v>2.8178071036661296</v>
      </c>
      <c r="I6" s="4">
        <f t="shared" si="1"/>
        <v>0.703120361538776</v>
      </c>
      <c r="J6" s="13">
        <f t="shared" si="2"/>
        <v>-0.296879638461224</v>
      </c>
    </row>
    <row r="7" spans="1:10">
      <c r="A7" s="32">
        <f>VOLATILIDADE!B7</f>
        <v>41153</v>
      </c>
      <c r="B7" s="33">
        <f>Tabela13[PROTEÇÃO MÊS]+Tabela134[PROTEÇÃO MÊS]+Tabela1[PROTEÇÃO MÊS]</f>
        <v>15280.49</v>
      </c>
      <c r="C7" s="3">
        <v>0</v>
      </c>
      <c r="D7" s="34">
        <f t="shared" si="3"/>
        <v>0</v>
      </c>
      <c r="E7" s="33">
        <f t="shared" si="4"/>
        <v>15280.49</v>
      </c>
      <c r="F7" s="41">
        <f>Tabela1[TOT RF]+Tabela134[TOT RF]+Tabela13[TOT RF]+SUM($D$2:$D7)</f>
        <v>24399.264999999996</v>
      </c>
      <c r="G7" s="33">
        <f>Tabela1[PATRIMÔNIO]+Tabela13[PATRIMÔNIO]</f>
        <v>33093.019999999997</v>
      </c>
      <c r="H7" s="4">
        <f t="shared" si="0"/>
        <v>1.6757174072175272</v>
      </c>
      <c r="I7" s="4">
        <f t="shared" si="1"/>
        <v>0.73729339298740337</v>
      </c>
      <c r="J7" s="13">
        <f t="shared" si="2"/>
        <v>-0.26270660701259663</v>
      </c>
    </row>
    <row r="8" spans="1:10">
      <c r="A8" s="32">
        <f>VOLATILIDADE!B8</f>
        <v>41183</v>
      </c>
      <c r="B8" s="33">
        <f>Tabela13[PROTEÇÃO MÊS]+Tabela134[PROTEÇÃO MÊS]+Tabela1[PROTEÇÃO MÊS]</f>
        <v>25011.86</v>
      </c>
      <c r="C8" s="3">
        <v>0</v>
      </c>
      <c r="D8" s="34">
        <f t="shared" si="3"/>
        <v>0</v>
      </c>
      <c r="E8" s="33">
        <f t="shared" si="4"/>
        <v>25011.86</v>
      </c>
      <c r="F8" s="41">
        <f>Tabela1[TOT RF]+Tabela134[TOT RF]+Tabela13[TOT RF]+SUM($D$2:$D8)</f>
        <v>49411.125</v>
      </c>
      <c r="G8" s="33">
        <f>Tabela1[PATRIMÔNIO]+Tabela13[PATRIMÔNIO]</f>
        <v>65381.24</v>
      </c>
      <c r="H8" s="4">
        <f t="shared" si="0"/>
        <v>1.0251071087592187</v>
      </c>
      <c r="I8" s="4">
        <f t="shared" si="1"/>
        <v>0.75573857271596567</v>
      </c>
      <c r="J8" s="13">
        <f t="shared" si="2"/>
        <v>-0.24426142728403433</v>
      </c>
    </row>
    <row r="9" spans="1:10">
      <c r="A9" s="32">
        <f>VOLATILIDADE!B9</f>
        <v>41214</v>
      </c>
      <c r="B9" s="33">
        <f>Tabela13[PROTEÇÃO MÊS]+Tabela134[PROTEÇÃO MÊS]+Tabela1[PROTEÇÃO MÊS]</f>
        <v>65854.929999999993</v>
      </c>
      <c r="C9" s="3">
        <v>0</v>
      </c>
      <c r="D9" s="34">
        <f t="shared" si="3"/>
        <v>0</v>
      </c>
      <c r="E9" s="33">
        <f t="shared" si="4"/>
        <v>65854.929999999993</v>
      </c>
      <c r="F9" s="41">
        <f>Tabela1[TOT RF]+Tabela134[TOT RF]+Tabela13[TOT RF]+SUM($D$2:$D9)</f>
        <v>115266.05499999999</v>
      </c>
      <c r="G9" s="33">
        <f>Tabela1[PATRIMÔNIO]+Tabela13[PATRIMÔNIO]</f>
        <v>148723.29999999999</v>
      </c>
      <c r="H9" s="4">
        <f t="shared" si="0"/>
        <v>1.3327956001811332</v>
      </c>
      <c r="I9" s="4">
        <f t="shared" si="1"/>
        <v>0.77503696461818694</v>
      </c>
      <c r="J9" s="13">
        <f t="shared" si="2"/>
        <v>-0.22496303538181306</v>
      </c>
    </row>
    <row r="10" spans="1:10">
      <c r="A10" s="32">
        <f>VOLATILIDADE!B10</f>
        <v>41244</v>
      </c>
      <c r="B10" s="33">
        <f>Tabela13[PROTEÇÃO MÊS]+Tabela134[PROTEÇÃO MÊS]+Tabela1[PROTEÇÃO MÊS]</f>
        <v>14040.619999999999</v>
      </c>
      <c r="C10" s="3">
        <v>0</v>
      </c>
      <c r="D10" s="34">
        <f t="shared" si="3"/>
        <v>0</v>
      </c>
      <c r="E10" s="33">
        <f t="shared" si="4"/>
        <v>14040.619999999999</v>
      </c>
      <c r="F10" s="41">
        <f>Tabela1[TOT RF]+Tabela134[TOT RF]+Tabela13[TOT RF]+SUM($D$2:$D10)</f>
        <v>129306.67499999999</v>
      </c>
      <c r="G10" s="33">
        <f>Tabela1[PATRIMÔNIO]+Tabela13[PATRIMÔNIO]</f>
        <v>166809.07999999999</v>
      </c>
      <c r="H10" s="4">
        <f t="shared" si="0"/>
        <v>0.12181053650183482</v>
      </c>
      <c r="I10" s="4">
        <f t="shared" si="1"/>
        <v>0.77517767617925837</v>
      </c>
      <c r="J10" s="13">
        <f t="shared" si="2"/>
        <v>-0.22482232382074163</v>
      </c>
    </row>
    <row r="11" spans="1:10">
      <c r="A11" s="32">
        <f>VOLATILIDADE!B11</f>
        <v>41275</v>
      </c>
      <c r="B11" s="33">
        <f>Tabela13[PROTEÇÃO MÊS]+Tabela134[PROTEÇÃO MÊS]+Tabela1[PROTEÇÃO MÊS]</f>
        <v>19585.93</v>
      </c>
      <c r="C11" s="3">
        <v>0</v>
      </c>
      <c r="D11" s="34">
        <f t="shared" si="3"/>
        <v>0</v>
      </c>
      <c r="E11" s="33">
        <f t="shared" ref="E11:E16" si="5">B11+D11</f>
        <v>19585.93</v>
      </c>
      <c r="F11" s="41">
        <f>Tabela1[TOT RF]+Tabela134[TOT RF]+Tabela13[TOT RF]+SUM($D$2:$D11)</f>
        <v>148892.60500000001</v>
      </c>
      <c r="G11" s="33">
        <f>Tabela1[PATRIMÔNIO]+Tabela13[PATRIMÔNIO]</f>
        <v>191826.49000000002</v>
      </c>
      <c r="H11" s="4">
        <f t="shared" si="0"/>
        <v>0.15146882401855896</v>
      </c>
      <c r="I11" s="4">
        <f t="shared" si="1"/>
        <v>0.77618375334918543</v>
      </c>
      <c r="J11" s="13">
        <f t="shared" si="2"/>
        <v>-0.22381624665081457</v>
      </c>
    </row>
    <row r="12" spans="1:10">
      <c r="A12" s="32">
        <f>VOLATILIDADE!B12</f>
        <v>41306</v>
      </c>
      <c r="B12" s="33">
        <f>Tabela13[PROTEÇÃO MÊS]+Tabela134[PROTEÇÃO MÊS]+Tabela1[PROTEÇÃO MÊS]</f>
        <v>9435.19</v>
      </c>
      <c r="C12" s="3">
        <v>0</v>
      </c>
      <c r="D12" s="34">
        <f t="shared" si="3"/>
        <v>0</v>
      </c>
      <c r="E12" s="33">
        <f t="shared" si="5"/>
        <v>9435.19</v>
      </c>
      <c r="F12" s="41">
        <f>Tabela1[TOT RF]+Tabela134[TOT RF]+Tabela13[TOT RF]+SUM($D$2:$D12)</f>
        <v>158327.79500000001</v>
      </c>
      <c r="G12" s="33">
        <f>Tabela1[PATRIMÔNIO]+Tabela13[PATRIMÔNIO]</f>
        <v>204155.46999999997</v>
      </c>
      <c r="H12" s="4">
        <f t="shared" si="0"/>
        <v>6.3369097478011074E-2</v>
      </c>
      <c r="I12" s="4">
        <f t="shared" si="1"/>
        <v>0.77552560800844594</v>
      </c>
      <c r="J12" s="13">
        <f t="shared" si="2"/>
        <v>-0.22447439199155406</v>
      </c>
    </row>
    <row r="13" spans="1:10">
      <c r="A13" s="32">
        <f>VOLATILIDADE!B13</f>
        <v>41334</v>
      </c>
      <c r="B13" s="33">
        <f>Tabela13[PROTEÇÃO MÊS]+Tabela134[PROTEÇÃO MÊS]+Tabela1[PROTEÇÃO MÊS]</f>
        <v>11574.51</v>
      </c>
      <c r="C13" s="3">
        <v>0</v>
      </c>
      <c r="D13" s="34">
        <f t="shared" si="3"/>
        <v>0</v>
      </c>
      <c r="E13" s="33">
        <f t="shared" si="5"/>
        <v>11574.51</v>
      </c>
      <c r="F13" s="41">
        <f>Tabela1[TOT RF]+Tabela134[TOT RF]+Tabela13[TOT RF]+SUM($D$2:$D13)</f>
        <v>169902.30500000002</v>
      </c>
      <c r="G13" s="33">
        <f>Tabela1[PATRIMÔNIO]+Tabela13[PATRIMÔNIO]</f>
        <v>219423.59999999998</v>
      </c>
      <c r="H13" s="4">
        <f t="shared" si="0"/>
        <v>7.3104725547399926E-2</v>
      </c>
      <c r="I13" s="4">
        <f t="shared" si="1"/>
        <v>0.77431190172798203</v>
      </c>
      <c r="J13" s="13">
        <f t="shared" si="2"/>
        <v>-0.22568809827201797</v>
      </c>
    </row>
    <row r="14" spans="1:10">
      <c r="A14" s="32">
        <f>VOLATILIDADE!B14</f>
        <v>41365</v>
      </c>
      <c r="B14" s="33">
        <f>Tabela13[PROTEÇÃO MÊS]+Tabela134[PROTEÇÃO MÊS]+Tabela1[PROTEÇÃO MÊS]</f>
        <v>14076.1</v>
      </c>
      <c r="C14" s="3">
        <v>0</v>
      </c>
      <c r="D14" s="34">
        <f t="shared" si="3"/>
        <v>0</v>
      </c>
      <c r="E14" s="33">
        <f t="shared" si="5"/>
        <v>14076.1</v>
      </c>
      <c r="F14" s="41">
        <f>Tabela1[TOT RF]+Tabela134[TOT RF]+Tabela13[TOT RF]+SUM($D$2:$D14)</f>
        <v>183978.40500000003</v>
      </c>
      <c r="G14" s="33">
        <f>Tabela1[PATRIMÔNIO]+Tabela13[PATRIMÔNIO]</f>
        <v>237818.72000000003</v>
      </c>
      <c r="H14" s="4">
        <f t="shared" si="0"/>
        <v>8.2848199145973911E-2</v>
      </c>
      <c r="I14" s="4">
        <f t="shared" si="1"/>
        <v>0.77360775047481545</v>
      </c>
      <c r="J14" s="13">
        <f t="shared" si="2"/>
        <v>-0.22639224952518455</v>
      </c>
    </row>
    <row r="15" spans="1:10">
      <c r="A15" s="32">
        <f>VOLATILIDADE!B15</f>
        <v>41395</v>
      </c>
      <c r="B15" s="33">
        <f>Tabela13[PROTEÇÃO MÊS]+Tabela134[PROTEÇÃO MÊS]+Tabela1[PROTEÇÃO MÊS]</f>
        <v>17001.21</v>
      </c>
      <c r="C15" s="3">
        <v>0</v>
      </c>
      <c r="D15" s="34">
        <f t="shared" si="3"/>
        <v>0</v>
      </c>
      <c r="E15" s="33">
        <f t="shared" si="5"/>
        <v>17001.21</v>
      </c>
      <c r="F15" s="41">
        <f>Tabela1[TOT RF]+Tabela134[TOT RF]+Tabela13[TOT RF]+SUM($D$2:$D15)</f>
        <v>200979.61500000002</v>
      </c>
      <c r="G15" s="33">
        <f>Tabela1[PATRIMÔNIO]+Tabela13[PATRIMÔNIO]</f>
        <v>259870.23</v>
      </c>
      <c r="H15" s="4">
        <f t="shared" si="0"/>
        <v>9.2408725904542965E-2</v>
      </c>
      <c r="I15" s="4">
        <f t="shared" si="1"/>
        <v>0.77338452734659147</v>
      </c>
      <c r="J15" s="13">
        <f t="shared" si="2"/>
        <v>-0.22661547265340853</v>
      </c>
    </row>
    <row r="16" spans="1:10">
      <c r="A16" s="32">
        <f>VOLATILIDADE!B16</f>
        <v>41426</v>
      </c>
      <c r="B16" s="33">
        <f>Tabela13[PROTEÇÃO MÊS]+Tabela134[PROTEÇÃO MÊS]+Tabela1[PROTEÇÃO MÊS]</f>
        <v>20421.61</v>
      </c>
      <c r="C16" s="3">
        <v>0</v>
      </c>
      <c r="D16" s="34">
        <f t="shared" si="3"/>
        <v>0</v>
      </c>
      <c r="E16" s="33">
        <f t="shared" si="5"/>
        <v>20421.61</v>
      </c>
      <c r="F16" s="41">
        <f>Tabela1[TOT RF]+Tabela134[TOT RF]+Tabela13[TOT RF]+SUM($D$2:$D16)</f>
        <v>221401.22500000001</v>
      </c>
      <c r="G16" s="33">
        <f>Tabela1[PATRIMÔNIO]+Tabela13[PATRIMÔNIO]</f>
        <v>286197.24</v>
      </c>
      <c r="H16" s="4">
        <f t="shared" si="0"/>
        <v>0.10161035486111365</v>
      </c>
      <c r="I16" s="4">
        <f t="shared" si="1"/>
        <v>0.773596646145155</v>
      </c>
      <c r="J16" s="13">
        <f t="shared" si="2"/>
        <v>-0.226403353854845</v>
      </c>
    </row>
    <row r="17" spans="1:10">
      <c r="A17" s="32">
        <f>VOLATILIDADE!B17</f>
        <v>41456</v>
      </c>
      <c r="B17" s="33">
        <f>Tabela13[PROTEÇÃO MÊS]+Tabela134[PROTEÇÃO MÊS]+Tabela1[PROTEÇÃO MÊS]</f>
        <v>24421.14</v>
      </c>
      <c r="C17" s="3">
        <v>0</v>
      </c>
      <c r="D17" s="34">
        <f t="shared" si="3"/>
        <v>0</v>
      </c>
      <c r="E17" s="33">
        <f t="shared" ref="E17:E22" si="6">B17+D17</f>
        <v>24421.14</v>
      </c>
      <c r="F17" s="41">
        <f>Tabela1[TOT RF]+Tabela134[TOT RF]+Tabela13[TOT RF]+SUM($D$2:$D17)</f>
        <v>245822.36500000002</v>
      </c>
      <c r="G17" s="33">
        <f>Tabela1[PATRIMÔNIO]+Tabela13[PATRIMÔNIO]</f>
        <v>317523.67</v>
      </c>
      <c r="H17" s="4">
        <f t="shared" si="0"/>
        <v>0.11030264173109249</v>
      </c>
      <c r="I17" s="4">
        <f t="shared" si="1"/>
        <v>0.77418595281416358</v>
      </c>
      <c r="J17" s="13">
        <f t="shared" si="2"/>
        <v>-0.22581404718583642</v>
      </c>
    </row>
    <row r="18" spans="1:10">
      <c r="A18" s="32">
        <f>VOLATILIDADE!B18</f>
        <v>41487</v>
      </c>
      <c r="B18" s="33">
        <f>Tabela13[PROTEÇÃO MÊS]+Tabela134[PROTEÇÃO MÊS]+Tabela1[PROTEÇÃO MÊS]</f>
        <v>29097.86</v>
      </c>
      <c r="C18" s="3">
        <v>0</v>
      </c>
      <c r="D18" s="34">
        <f t="shared" si="3"/>
        <v>0</v>
      </c>
      <c r="E18" s="33">
        <f t="shared" si="6"/>
        <v>29097.86</v>
      </c>
      <c r="F18" s="41">
        <f>Tabela1[TOT RF]+Tabela134[TOT RF]+Tabela13[TOT RF]+SUM($D$2:$D18)</f>
        <v>274920.22499999998</v>
      </c>
      <c r="G18" s="33">
        <f>Tabela1[PATRIMÔNIO]+Tabela13[PATRIMÔNIO]</f>
        <v>354696</v>
      </c>
      <c r="H18" s="4">
        <f t="shared" si="0"/>
        <v>0.11836945755525541</v>
      </c>
      <c r="I18" s="4">
        <f t="shared" si="1"/>
        <v>0.77508690540631975</v>
      </c>
      <c r="J18" s="13">
        <f t="shared" si="2"/>
        <v>-0.22491309459368025</v>
      </c>
    </row>
    <row r="19" spans="1:10">
      <c r="A19" s="32">
        <f>VOLATILIDADE!B19</f>
        <v>41518</v>
      </c>
      <c r="B19" s="33">
        <f>Tabela13[PROTEÇÃO MÊS]+Tabela134[PROTEÇÃO MÊS]+Tabela1[PROTEÇÃO MÊS]</f>
        <v>34566.44</v>
      </c>
      <c r="C19" s="3">
        <v>0</v>
      </c>
      <c r="D19" s="34">
        <f t="shared" si="3"/>
        <v>0</v>
      </c>
      <c r="E19" s="33">
        <f t="shared" si="6"/>
        <v>34566.44</v>
      </c>
      <c r="F19" s="41">
        <f>Tabela1[TOT RF]+Tabela134[TOT RF]+Tabela13[TOT RF]+SUM($D$2:$D19)</f>
        <v>309486.66499999998</v>
      </c>
      <c r="G19" s="33">
        <f>Tabela1[PATRIMÔNIO]+Tabela13[PATRIMÔNIO]</f>
        <v>398704.04000000004</v>
      </c>
      <c r="H19" s="4">
        <f t="shared" si="0"/>
        <v>0.12573261934439348</v>
      </c>
      <c r="I19" s="4">
        <f t="shared" si="1"/>
        <v>0.77623157518042696</v>
      </c>
      <c r="J19" s="13">
        <f t="shared" si="2"/>
        <v>-0.22376842481957304</v>
      </c>
    </row>
    <row r="20" spans="1:10">
      <c r="A20" s="32">
        <f>VOLATILIDADE!B20</f>
        <v>41548</v>
      </c>
      <c r="B20" s="33">
        <f>Tabela13[PROTEÇÃO MÊS]+Tabela134[PROTEÇÃO MÊS]+Tabela1[PROTEÇÃO MÊS]</f>
        <v>40960.92</v>
      </c>
      <c r="C20" s="3">
        <v>0</v>
      </c>
      <c r="D20" s="34">
        <f t="shared" si="3"/>
        <v>0</v>
      </c>
      <c r="E20" s="33">
        <f t="shared" si="6"/>
        <v>40960.92</v>
      </c>
      <c r="F20" s="41">
        <f>Tabela1[TOT RF]+Tabela134[TOT RF]+Tabela13[TOT RF]+SUM($D$2:$D20)</f>
        <v>350447.58499999996</v>
      </c>
      <c r="G20" s="33">
        <f>Tabela1[PATRIMÔNIO]+Tabela13[PATRIMÔNIO]</f>
        <v>450705.19</v>
      </c>
      <c r="H20" s="4">
        <f t="shared" si="0"/>
        <v>0.13235116285220239</v>
      </c>
      <c r="I20" s="4">
        <f t="shared" si="1"/>
        <v>0.77755391501038618</v>
      </c>
      <c r="J20" s="13">
        <f t="shared" si="2"/>
        <v>-0.22244608498961382</v>
      </c>
    </row>
    <row r="21" spans="1:10">
      <c r="A21" s="32">
        <f>VOLATILIDADE!B21</f>
        <v>41579</v>
      </c>
      <c r="B21" s="33">
        <f>Tabela13[PROTEÇÃO MÊS]+Tabela134[PROTEÇÃO MÊS]+Tabela1[PROTEÇÃO MÊS]</f>
        <v>48438.080000000002</v>
      </c>
      <c r="C21" s="3">
        <v>0</v>
      </c>
      <c r="D21" s="34">
        <f t="shared" si="3"/>
        <v>0</v>
      </c>
      <c r="E21" s="33">
        <f t="shared" si="6"/>
        <v>48438.080000000002</v>
      </c>
      <c r="F21" s="41">
        <f>Tabela1[TOT RF]+Tabela134[TOT RF]+Tabela13[TOT RF]+SUM($D$2:$D21)</f>
        <v>398885.66499999998</v>
      </c>
      <c r="G21" s="33">
        <f>Tabela1[PATRIMÔNIO]+Tabela13[PATRIMÔNIO]</f>
        <v>512052.79000000004</v>
      </c>
      <c r="H21" s="4">
        <f t="shared" si="0"/>
        <v>0.13821775944040249</v>
      </c>
      <c r="I21" s="4">
        <f t="shared" si="1"/>
        <v>0.77899324598934405</v>
      </c>
      <c r="J21" s="13">
        <f t="shared" si="2"/>
        <v>-0.22100675401065595</v>
      </c>
    </row>
    <row r="22" spans="1:10">
      <c r="A22" s="32">
        <f>VOLATILIDADE!B22</f>
        <v>41609</v>
      </c>
      <c r="B22" s="33">
        <f>Tabela13[PROTEÇÃO MÊS]+Tabela134[PROTEÇÃO MÊS]+Tabela1[PROTEÇÃO MÊS]</f>
        <v>57181.279999999999</v>
      </c>
      <c r="C22" s="3">
        <v>0</v>
      </c>
      <c r="D22" s="34">
        <f t="shared" si="3"/>
        <v>0</v>
      </c>
      <c r="E22" s="33">
        <f t="shared" si="6"/>
        <v>57181.279999999999</v>
      </c>
      <c r="F22" s="41">
        <f>Tabela1[TOT RF]+Tabela134[TOT RF]+Tabela13[TOT RF]+SUM($D$2:$D22)</f>
        <v>456066.94499999995</v>
      </c>
      <c r="G22" s="33">
        <f>Tabela1[PATRIMÔNIO]+Tabela13[PATRIMÔNIO]</f>
        <v>584329.3899999999</v>
      </c>
      <c r="H22" s="4">
        <f t="shared" si="0"/>
        <v>0.14335255692881319</v>
      </c>
      <c r="I22" s="4">
        <f t="shared" si="1"/>
        <v>0.78049633101631266</v>
      </c>
      <c r="J22" s="13">
        <f t="shared" si="2"/>
        <v>-0.21950366898368734</v>
      </c>
    </row>
    <row r="23" spans="1:10">
      <c r="A23" s="32">
        <f>VOLATILIDADE!B23</f>
        <v>41640</v>
      </c>
      <c r="B23" s="33">
        <f>Tabela13[PROTEÇÃO MÊS]+Tabela134[PROTEÇÃO MÊS]+Tabela1[PROTEÇÃO MÊS]</f>
        <v>67404.83</v>
      </c>
      <c r="C23" s="3">
        <v>0</v>
      </c>
      <c r="D23" s="34">
        <f t="shared" ref="D23:D28" si="7">C23*25%</f>
        <v>0</v>
      </c>
      <c r="E23" s="33">
        <f t="shared" ref="E23:E28" si="8">B23+D23</f>
        <v>67404.83</v>
      </c>
      <c r="F23" s="41">
        <f>Tabela1[TOT RF]+Tabela134[TOT RF]+Tabela13[TOT RF]+SUM($D$2:$D23)</f>
        <v>523471.77499999997</v>
      </c>
      <c r="G23" s="33">
        <f>Tabela1[PATRIMÔNIO]+Tabela13[PATRIMÔNIO]</f>
        <v>669385.42000000004</v>
      </c>
      <c r="H23" s="4">
        <f t="shared" si="0"/>
        <v>0.14779591184798541</v>
      </c>
      <c r="I23" s="4">
        <f t="shared" si="1"/>
        <v>0.7820184894376695</v>
      </c>
      <c r="J23" s="13">
        <f t="shared" si="2"/>
        <v>-0.2179815105623305</v>
      </c>
    </row>
    <row r="24" spans="1:10">
      <c r="A24" s="32">
        <f>VOLATILIDADE!B24</f>
        <v>41671</v>
      </c>
      <c r="B24" s="33">
        <f>Tabela13[PROTEÇÃO MÊS]+Tabela134[PROTEÇÃO MÊS]+Tabela1[PROTEÇÃO MÊS]</f>
        <v>79359.38</v>
      </c>
      <c r="C24" s="3">
        <v>0</v>
      </c>
      <c r="D24" s="34">
        <f t="shared" si="7"/>
        <v>0</v>
      </c>
      <c r="E24" s="33">
        <f t="shared" si="8"/>
        <v>79359.38</v>
      </c>
      <c r="F24" s="41">
        <f>Tabela1[TOT RF]+Tabela134[TOT RF]+Tabela13[TOT RF]+SUM($D$2:$D24)</f>
        <v>602831.15500000003</v>
      </c>
      <c r="G24" s="33">
        <f>Tabela1[PATRIMÔNIO]+Tabela13[PATRIMÔNIO]</f>
        <v>769384.64999999991</v>
      </c>
      <c r="H24" s="4">
        <f t="shared" si="0"/>
        <v>0.15160202285978075</v>
      </c>
      <c r="I24" s="4">
        <f t="shared" si="1"/>
        <v>0.78352376148913305</v>
      </c>
      <c r="J24" s="13">
        <f t="shared" si="2"/>
        <v>-0.21647623851086695</v>
      </c>
    </row>
    <row r="25" spans="1:10">
      <c r="A25" s="32">
        <f>VOLATILIDADE!B25</f>
        <v>41699</v>
      </c>
      <c r="B25" s="33">
        <f>Tabela13[PROTEÇÃO MÊS]+Tabela134[PROTEÇÃO MÊS]+Tabela1[PROTEÇÃO MÊS]</f>
        <v>93338.06</v>
      </c>
      <c r="C25" s="3">
        <v>0</v>
      </c>
      <c r="D25" s="34">
        <f t="shared" si="7"/>
        <v>0</v>
      </c>
      <c r="E25" s="33">
        <f t="shared" si="8"/>
        <v>93338.06</v>
      </c>
      <c r="F25" s="41">
        <f>Tabela1[TOT RF]+Tabela134[TOT RF]+Tabela13[TOT RF]+SUM($D$2:$D25)</f>
        <v>696169.21500000008</v>
      </c>
      <c r="G25" s="33">
        <f>Tabela1[PATRIMÔNIO]+Tabela13[PATRIMÔNIO]</f>
        <v>886857.22000000009</v>
      </c>
      <c r="H25" s="4">
        <f t="shared" si="0"/>
        <v>0.15483284038297587</v>
      </c>
      <c r="I25" s="4">
        <f t="shared" si="1"/>
        <v>0.78498454914760685</v>
      </c>
      <c r="J25" s="13">
        <f t="shared" si="2"/>
        <v>-0.21501545085239315</v>
      </c>
    </row>
    <row r="26" spans="1:10">
      <c r="A26" s="32">
        <f>VOLATILIDADE!B26</f>
        <v>41730</v>
      </c>
      <c r="B26" s="33">
        <f>Tabela13[PROTEÇÃO MÊS]+Tabela134[PROTEÇÃO MÊS]+Tabela1[PROTEÇÃO MÊS]</f>
        <v>109683.55</v>
      </c>
      <c r="C26" s="3">
        <v>0</v>
      </c>
      <c r="D26" s="34">
        <f t="shared" si="7"/>
        <v>0</v>
      </c>
      <c r="E26" s="33">
        <f t="shared" si="8"/>
        <v>109683.55</v>
      </c>
      <c r="F26" s="41">
        <f>Tabela1[TOT RF]+Tabela134[TOT RF]+Tabela13[TOT RF]+SUM($D$2:$D26)</f>
        <v>805852.76500000001</v>
      </c>
      <c r="G26" s="33">
        <f>Tabela1[PATRIMÔNIO]+Tabela13[PATRIMÔNIO]</f>
        <v>1024761.65</v>
      </c>
      <c r="H26" s="4">
        <f t="shared" si="0"/>
        <v>0.15755300239755649</v>
      </c>
      <c r="I26" s="4">
        <f t="shared" si="1"/>
        <v>0.78638068179073639</v>
      </c>
      <c r="J26" s="13">
        <f t="shared" si="2"/>
        <v>-0.21361931820926361</v>
      </c>
    </row>
    <row r="27" spans="1:10">
      <c r="A27" s="32">
        <f>VOLATILIDADE!B27</f>
        <v>41760</v>
      </c>
      <c r="B27" s="33">
        <f>Tabela13[PROTEÇÃO MÊS]+Tabela134[PROTEÇÃO MÊS]+Tabela1[PROTEÇÃO MÊS]</f>
        <v>128796.60999999999</v>
      </c>
      <c r="C27" s="3">
        <v>0</v>
      </c>
      <c r="D27" s="34">
        <f t="shared" si="7"/>
        <v>0</v>
      </c>
      <c r="E27" s="33">
        <f t="shared" si="8"/>
        <v>128796.60999999999</v>
      </c>
      <c r="F27" s="41">
        <f>Tabela1[TOT RF]+Tabela134[TOT RF]+Tabela13[TOT RF]+SUM($D$2:$D27)</f>
        <v>934649.375</v>
      </c>
      <c r="G27" s="33">
        <f>Tabela1[PATRIMÔNIO]+Tabela13[PATRIMÔNIO]</f>
        <v>1186557.42</v>
      </c>
      <c r="H27" s="4">
        <f t="shared" si="0"/>
        <v>0.15982647897224747</v>
      </c>
      <c r="I27" s="4">
        <f t="shared" si="1"/>
        <v>0.78769839473929548</v>
      </c>
      <c r="J27" s="13">
        <f t="shared" si="2"/>
        <v>-0.21230160526070452</v>
      </c>
    </row>
    <row r="28" spans="1:10">
      <c r="A28" s="32">
        <f>VOLATILIDADE!B28</f>
        <v>41791</v>
      </c>
      <c r="B28" s="33">
        <f>Tabela13[PROTEÇÃO MÊS]+Tabela134[PROTEÇÃO MÊS]+Tabela1[PROTEÇÃO MÊS]</f>
        <v>151145.84</v>
      </c>
      <c r="C28" s="3">
        <v>0</v>
      </c>
      <c r="D28" s="34">
        <f t="shared" si="7"/>
        <v>0</v>
      </c>
      <c r="E28" s="33">
        <f t="shared" si="8"/>
        <v>151145.84</v>
      </c>
      <c r="F28" s="41">
        <f>Tabela1[TOT RF]+Tabela134[TOT RF]+Tabela13[TOT RF]+SUM($D$2:$D28)</f>
        <v>1085795.2149999999</v>
      </c>
      <c r="G28" s="33">
        <f>Tabela1[PATRIMÔNIO]+Tabela13[PATRIMÔNIO]</f>
        <v>1376289.72</v>
      </c>
      <c r="H28" s="4">
        <f t="shared" si="0"/>
        <v>0.16171394754316293</v>
      </c>
      <c r="I28" s="4">
        <f t="shared" si="1"/>
        <v>0.78892924885030735</v>
      </c>
      <c r="J28" s="13">
        <f t="shared" si="2"/>
        <v>-0.21107075114969265</v>
      </c>
    </row>
    <row r="29" spans="1:10">
      <c r="A29" s="32">
        <f>VOLATILIDADE!B29</f>
        <v>41821</v>
      </c>
      <c r="B29" s="33">
        <f>Tabela13[PROTEÇÃO MÊS]+Tabela134[PROTEÇÃO MÊS]+Tabela1[PROTEÇÃO MÊS]</f>
        <v>177279.12999999998</v>
      </c>
      <c r="C29" s="3">
        <v>0</v>
      </c>
      <c r="D29" s="34">
        <f t="shared" ref="D29:D30" si="9">C29*25%</f>
        <v>0</v>
      </c>
      <c r="E29" s="33">
        <f t="shared" ref="E29:E30" si="10">B29+D29</f>
        <v>177279.12999999998</v>
      </c>
      <c r="F29" s="41">
        <f>Tabela1[TOT RF]+Tabela134[TOT RF]+Tabela13[TOT RF]+SUM($D$2:$D29)</f>
        <v>1263074.345</v>
      </c>
      <c r="G29" s="33">
        <f>Tabela1[PATRIMÔNIO]+Tabela13[PATRIMÔNIO]</f>
        <v>1598688.64</v>
      </c>
      <c r="H29" s="4">
        <f t="shared" si="0"/>
        <v>0.16327123895089182</v>
      </c>
      <c r="I29" s="4">
        <f t="shared" si="1"/>
        <v>0.79006900618246723</v>
      </c>
      <c r="J29" s="13">
        <f t="shared" si="2"/>
        <v>-0.20993099381753277</v>
      </c>
    </row>
    <row r="30" spans="1:10">
      <c r="A30" s="32">
        <f>VOLATILIDADE!B30</f>
        <v>41852</v>
      </c>
      <c r="B30" s="33">
        <f>Tabela13[PROTEÇÃO MÊS]+Tabela134[PROTEÇÃO MÊS]+Tabela1[PROTEÇÃO MÊS]</f>
        <v>207837.26</v>
      </c>
      <c r="C30" s="3">
        <v>0</v>
      </c>
      <c r="D30" s="34">
        <f t="shared" si="9"/>
        <v>0</v>
      </c>
      <c r="E30" s="33">
        <f t="shared" si="10"/>
        <v>207837.26</v>
      </c>
      <c r="F30" s="41">
        <f>Tabela1[TOT RF]+Tabela134[TOT RF]+Tabela13[TOT RF]+SUM($D$2:$D30)</f>
        <v>1470911.605</v>
      </c>
      <c r="G30" s="33">
        <f>Tabela1[PATRIMÔNIO]+Tabela13[PATRIMÔNIO]</f>
        <v>1859285.22</v>
      </c>
      <c r="H30" s="4">
        <f t="shared" si="0"/>
        <v>0.1645487146680982</v>
      </c>
      <c r="I30" s="4">
        <f t="shared" si="1"/>
        <v>0.79111670935565226</v>
      </c>
      <c r="J30" s="13">
        <f t="shared" si="2"/>
        <v>-0.20888329064434774</v>
      </c>
    </row>
    <row r="31" spans="1:10">
      <c r="A31" s="32">
        <f>VOLATILIDADE!B31</f>
        <v>41883</v>
      </c>
      <c r="B31" s="33">
        <f>Tabela13[PROTEÇÃO MÊS]+Tabela134[PROTEÇÃO MÊS]+Tabela1[PROTEÇÃO MÊS]</f>
        <v>243569.38</v>
      </c>
      <c r="C31" s="3">
        <v>0</v>
      </c>
      <c r="D31" s="34">
        <f t="shared" ref="D31" si="11">C31*25%</f>
        <v>0</v>
      </c>
      <c r="E31" s="33">
        <f t="shared" ref="E31" si="12">B31+D31</f>
        <v>243569.38</v>
      </c>
      <c r="F31" s="41">
        <f>Tabela1[TOT RF]+Tabela134[TOT RF]+Tabela13[TOT RF]+SUM($D$2:$D31)</f>
        <v>1714480.9849999999</v>
      </c>
      <c r="G31" s="33">
        <f>Tabela1[PATRIMÔNIO]+Tabela13[PATRIMÔNIO]</f>
        <v>2164546.9500000002</v>
      </c>
      <c r="H31" s="4">
        <f t="shared" si="0"/>
        <v>0.16559076641454604</v>
      </c>
      <c r="I31" s="4">
        <f t="shared" si="1"/>
        <v>0.79207382634966628</v>
      </c>
      <c r="J31" s="13">
        <f t="shared" si="2"/>
        <v>-0.20792617365033372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3" sqref="E13"/>
    </sheetView>
  </sheetViews>
  <sheetFormatPr defaultRowHeight="11.25"/>
  <cols>
    <col min="1" max="1" width="6.85546875" style="1" bestFit="1" customWidth="1"/>
    <col min="2" max="3" width="14.140625" style="1" bestFit="1" customWidth="1"/>
    <col min="4" max="4" width="12.42578125" style="1" bestFit="1" customWidth="1"/>
    <col min="5" max="5" width="11.7109375" style="1" bestFit="1" customWidth="1"/>
    <col min="6" max="6" width="16.140625" style="1" bestFit="1" customWidth="1"/>
    <col min="7" max="16384" width="9.140625" style="1"/>
  </cols>
  <sheetData>
    <row r="1" spans="1:6">
      <c r="A1" s="1" t="s">
        <v>2</v>
      </c>
      <c r="B1" s="1" t="s">
        <v>5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>
      <c r="A2" s="44">
        <f>'RESUMO DE PROTEÇÃO'!A2</f>
        <v>41000</v>
      </c>
      <c r="B2" s="3">
        <f>'RESUMO DE PROTEÇÃO'!E2</f>
        <v>293.5</v>
      </c>
      <c r="C2" s="3">
        <f>[APLICAÇÃO] * 40%</f>
        <v>117.4</v>
      </c>
      <c r="D2" s="3">
        <f>[APLICAÇÃO] * 10%</f>
        <v>29.35</v>
      </c>
      <c r="E2" s="3">
        <f>[APLICAÇÃO] * 25%</f>
        <v>73.375</v>
      </c>
      <c r="F2" s="3">
        <f>[APLICAÇÃO] * 25%</f>
        <v>73.375</v>
      </c>
    </row>
    <row r="3" spans="1:6">
      <c r="A3" s="45">
        <f>'RESUMO DE PROTEÇÃO'!A3</f>
        <v>41030</v>
      </c>
      <c r="B3" s="18">
        <f>'RESUMO DE PROTEÇÃO'!E3</f>
        <v>409.29500000000002</v>
      </c>
      <c r="C3" s="18">
        <f>[APLICAÇÃO] * 40%</f>
        <v>163.71800000000002</v>
      </c>
      <c r="D3" s="18">
        <f>[APLICAÇÃO] * 10%</f>
        <v>40.929500000000004</v>
      </c>
      <c r="E3" s="18">
        <f>[APLICAÇÃO] * 25%</f>
        <v>102.32375</v>
      </c>
      <c r="F3" s="18">
        <f>[APLICAÇÃO] * 25%</f>
        <v>102.32375</v>
      </c>
    </row>
    <row r="4" spans="1:6">
      <c r="A4" s="44">
        <f>'RESUMO DE PROTEÇÃO'!A4</f>
        <v>41061</v>
      </c>
      <c r="B4" s="3">
        <f>'RESUMO DE PROTEÇÃO'!E4</f>
        <v>1037.6199999999999</v>
      </c>
      <c r="C4" s="6">
        <f>[APLICAÇÃO] * 40%</f>
        <v>415.048</v>
      </c>
      <c r="D4" s="6">
        <f>[APLICAÇÃO] * 10%</f>
        <v>103.762</v>
      </c>
      <c r="E4" s="6">
        <f>[APLICAÇÃO] * 25%</f>
        <v>259.40499999999997</v>
      </c>
      <c r="F4" s="6">
        <f>[APLICAÇÃO] * 25%</f>
        <v>259.40499999999997</v>
      </c>
    </row>
    <row r="5" spans="1:6">
      <c r="A5" s="45">
        <f>'RESUMO DE PROTEÇÃO'!A5</f>
        <v>41091</v>
      </c>
      <c r="B5" s="18">
        <f>'RESUMO DE PROTEÇÃO'!E5</f>
        <v>648.07000000000005</v>
      </c>
      <c r="C5" s="19">
        <f>[APLICAÇÃO] * 40%</f>
        <v>259.22800000000001</v>
      </c>
      <c r="D5" s="19">
        <f>[APLICAÇÃO] * 10%</f>
        <v>64.807000000000002</v>
      </c>
      <c r="E5" s="19">
        <f>[APLICAÇÃO] * 25%</f>
        <v>162.01750000000001</v>
      </c>
      <c r="F5" s="19">
        <f>[APLICAÇÃO] * 25%</f>
        <v>162.01750000000001</v>
      </c>
    </row>
    <row r="6" spans="1:6">
      <c r="A6" s="15" t="s">
        <v>35</v>
      </c>
      <c r="B6" s="14">
        <f>SUBTOTAL(109,[APLICAÇÃO])</f>
        <v>2388.4850000000001</v>
      </c>
      <c r="C6" s="14">
        <f>SUBTOTAL(109,[TESOURO DIRETO])</f>
        <v>955.39400000000001</v>
      </c>
      <c r="D6" s="14">
        <f>SUBTOTAL(109,[FUNDO AÇÕES])</f>
        <v>238.8485</v>
      </c>
      <c r="E6" s="14">
        <f>SUBTOTAL(109,[FUNDOS MM])</f>
        <v>597.12125000000003</v>
      </c>
      <c r="F6" s="14">
        <f>SUBTOTAL(109,[FUNDOS RF E REFER.])</f>
        <v>597.12125000000003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2" t="s">
        <v>9</v>
      </c>
      <c r="B1" s="52"/>
      <c r="C1" s="52"/>
      <c r="D1" s="52" t="s">
        <v>10</v>
      </c>
      <c r="E1" s="52"/>
      <c r="F1" s="52"/>
      <c r="G1" s="53" t="s">
        <v>21</v>
      </c>
      <c r="H1" s="53" t="s">
        <v>17</v>
      </c>
      <c r="I1" s="53" t="s">
        <v>22</v>
      </c>
    </row>
    <row r="2" spans="1:9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53"/>
      <c r="H2" s="53"/>
      <c r="I2" s="53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VOLATILIDADE</vt:lpstr>
      <vt:lpstr>TRAVA</vt:lpstr>
      <vt:lpstr>TENDENCIA</vt:lpstr>
      <vt:lpstr>RESUMO DE PROTEÇÃO</vt:lpstr>
      <vt:lpstr>DIVISAO PATRIMONIO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2012-08-02T16:40:50Z</dcterms:modified>
</cp:coreProperties>
</file>