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109"/>
  </bookViews>
  <sheets>
    <sheet name="TRADES" sheetId="1" r:id="rId1"/>
    <sheet name="SETUP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K2" i="1" l="1"/>
  <c r="L2" i="1" s="1"/>
  <c r="N2" i="1"/>
  <c r="X2" i="1"/>
  <c r="AF2" i="1"/>
  <c r="AL2" i="1"/>
  <c r="AM2" i="1" s="1"/>
  <c r="AR2" i="1"/>
  <c r="BA2" i="1"/>
  <c r="M2" i="1" l="1"/>
  <c r="R2" i="1" s="1"/>
  <c r="S2" i="1" s="1"/>
  <c r="O2" i="1"/>
  <c r="P2" i="1" s="1"/>
  <c r="Q2" i="1" l="1"/>
  <c r="T2" i="1" s="1"/>
  <c r="AN2" i="1" l="1"/>
  <c r="AO2" i="1" s="1"/>
  <c r="U2" i="1"/>
  <c r="AC2" i="1"/>
  <c r="AW2" i="1"/>
  <c r="AX2" i="1" l="1"/>
  <c r="AE2" i="1"/>
  <c r="AD2" i="1"/>
  <c r="AG2" i="1" s="1"/>
  <c r="AH2" i="1" s="1"/>
  <c r="AI2" i="1" s="1"/>
  <c r="V2" i="1"/>
  <c r="Z2" i="1"/>
  <c r="W2" i="1"/>
  <c r="AP2" i="1"/>
  <c r="AQ2" i="1"/>
  <c r="AS2" i="1" l="1"/>
  <c r="AT2" i="1" s="1"/>
  <c r="AU2" i="1" s="1"/>
  <c r="Y2" i="1"/>
  <c r="AA2" i="1" s="1"/>
  <c r="AB2" i="1" s="1"/>
  <c r="AZ2" i="1"/>
  <c r="AY2" i="1"/>
  <c r="BB2" i="1" s="1"/>
  <c r="BC2" i="1" s="1"/>
  <c r="BD2" i="1" s="1"/>
  <c r="AJ2" i="1" l="1"/>
  <c r="AK2" i="1" s="1"/>
  <c r="AV2" i="1"/>
  <c r="BE2" i="1"/>
  <c r="BF2" i="1" l="1"/>
  <c r="BH2" i="1" l="1"/>
  <c r="BG2" i="1"/>
  <c r="K3" i="1" l="1"/>
  <c r="L3" i="1" s="1"/>
  <c r="N3" i="1"/>
  <c r="X3" i="1"/>
  <c r="AF3" i="1"/>
  <c r="AL3" i="1"/>
  <c r="AM3" i="1" s="1"/>
  <c r="AR3" i="1"/>
  <c r="BA3" i="1"/>
  <c r="K4" i="1"/>
  <c r="L4" i="1" s="1"/>
  <c r="N4" i="1"/>
  <c r="X4" i="1"/>
  <c r="AF4" i="1"/>
  <c r="AL4" i="1"/>
  <c r="AM4" i="1" s="1"/>
  <c r="AR4" i="1"/>
  <c r="BA4" i="1"/>
  <c r="K5" i="1"/>
  <c r="L5" i="1" s="1"/>
  <c r="N5" i="1"/>
  <c r="X5" i="1"/>
  <c r="AF5" i="1"/>
  <c r="AL5" i="1"/>
  <c r="AM5" i="1" s="1"/>
  <c r="AR5" i="1"/>
  <c r="BA5" i="1"/>
  <c r="O5" i="1" l="1"/>
  <c r="P5" i="1" s="1"/>
  <c r="Q5" i="1" s="1"/>
  <c r="M5" i="1"/>
  <c r="R5" i="1" s="1"/>
  <c r="S5" i="1" s="1"/>
  <c r="O4" i="1"/>
  <c r="P4" i="1" s="1"/>
  <c r="M4" i="1"/>
  <c r="R4" i="1" s="1"/>
  <c r="S4" i="1" s="1"/>
  <c r="O3" i="1"/>
  <c r="P3" i="1" s="1"/>
  <c r="M3" i="1"/>
  <c r="R3" i="1" s="1"/>
  <c r="S3" i="1" s="1"/>
  <c r="T5" i="1" l="1"/>
  <c r="AN5" i="1" s="1"/>
  <c r="AO5" i="1" s="1"/>
  <c r="AP5" i="1" s="1"/>
  <c r="U5" i="1"/>
  <c r="V5" i="1" s="1"/>
  <c r="AW5" i="1"/>
  <c r="AX5" i="1" s="1"/>
  <c r="AQ5" i="1"/>
  <c r="AS5" i="1" s="1"/>
  <c r="AT5" i="1" s="1"/>
  <c r="AU5" i="1" s="1"/>
  <c r="Q3" i="1"/>
  <c r="T3" i="1" s="1"/>
  <c r="T4" i="1"/>
  <c r="Q4" i="1"/>
  <c r="Z5" i="1"/>
  <c r="W5" i="1" l="1"/>
  <c r="AC5" i="1"/>
  <c r="U3" i="1"/>
  <c r="AC3" i="1"/>
  <c r="AN3" i="1"/>
  <c r="AO3" i="1" s="1"/>
  <c r="Y5" i="1"/>
  <c r="AA5" i="1" s="1"/>
  <c r="AY5" i="1"/>
  <c r="AZ5" i="1"/>
  <c r="AN4" i="1"/>
  <c r="AO4" i="1" s="1"/>
  <c r="U4" i="1"/>
  <c r="AC4" i="1"/>
  <c r="AE5" i="1" l="1"/>
  <c r="AD5" i="1"/>
  <c r="AW4" i="1"/>
  <c r="AE4" i="1"/>
  <c r="AD4" i="1"/>
  <c r="AP3" i="1"/>
  <c r="AQ3" i="1"/>
  <c r="W4" i="1"/>
  <c r="V4" i="1"/>
  <c r="Z4" i="1"/>
  <c r="BB5" i="1"/>
  <c r="BC5" i="1" s="1"/>
  <c r="BD5" i="1" s="1"/>
  <c r="AD3" i="1"/>
  <c r="AE3" i="1"/>
  <c r="AQ4" i="1"/>
  <c r="AP4" i="1"/>
  <c r="V3" i="1"/>
  <c r="Z3" i="1"/>
  <c r="W3" i="1"/>
  <c r="AX4" i="1"/>
  <c r="AB5" i="1"/>
  <c r="AW3" i="1"/>
  <c r="AS3" i="1" l="1"/>
  <c r="AT3" i="1" s="1"/>
  <c r="AU3" i="1" s="1"/>
  <c r="AG5" i="1"/>
  <c r="AH5" i="1" s="1"/>
  <c r="AS4" i="1"/>
  <c r="AT4" i="1" s="1"/>
  <c r="AU4" i="1" s="1"/>
  <c r="Y4" i="1"/>
  <c r="AA4" i="1" s="1"/>
  <c r="AB4" i="1" s="1"/>
  <c r="AG4" i="1"/>
  <c r="AH4" i="1" s="1"/>
  <c r="AI4" i="1" s="1"/>
  <c r="Y3" i="1"/>
  <c r="AA3" i="1" s="1"/>
  <c r="AB3" i="1" s="1"/>
  <c r="AV3" i="1" s="1"/>
  <c r="AG3" i="1"/>
  <c r="AH3" i="1" s="1"/>
  <c r="AX3" i="1"/>
  <c r="AV5" i="1"/>
  <c r="BE5" i="1"/>
  <c r="AZ4" i="1"/>
  <c r="AY4" i="1"/>
  <c r="AI5" i="1" l="1"/>
  <c r="AJ5" i="1"/>
  <c r="AK5" i="1" s="1"/>
  <c r="AV4" i="1"/>
  <c r="AJ4" i="1"/>
  <c r="AK4" i="1" s="1"/>
  <c r="BB4" i="1"/>
  <c r="BC4" i="1" s="1"/>
  <c r="BD4" i="1" s="1"/>
  <c r="BE4" i="1" s="1"/>
  <c r="BF4" i="1" s="1"/>
  <c r="BF5" i="1"/>
  <c r="BH5" i="1" s="1"/>
  <c r="AI3" i="1"/>
  <c r="AJ3" i="1"/>
  <c r="AK3" i="1" s="1"/>
  <c r="AY3" i="1"/>
  <c r="AZ3" i="1"/>
  <c r="BH4" i="1" l="1"/>
  <c r="BG5" i="1"/>
  <c r="BG4" i="1"/>
  <c r="BB3" i="1"/>
  <c r="BC3" i="1" s="1"/>
  <c r="BD3" i="1" s="1"/>
  <c r="BE3" i="1" s="1"/>
  <c r="BF3" i="1" s="1"/>
  <c r="BG3" i="1" s="1"/>
  <c r="BH3" i="1" l="1"/>
</calcChain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9"/>
            <color indexed="8"/>
            <rFont val="Tahoma"/>
            <family val="2"/>
          </rPr>
          <t>Seu patrimônio bruto incluindo a parte em renda fixa</t>
        </r>
      </text>
    </comment>
    <comment ref="D1" authorId="0">
      <text>
        <r>
          <rPr>
            <sz val="9"/>
            <color indexed="8"/>
            <rFont val="Tahoma"/>
            <family val="2"/>
          </rPr>
          <t>A=ACUMULAÇÃO
P=POSITION
S=SWING
D=DAYTRADE</t>
        </r>
      </text>
    </comment>
  </commentList>
</comments>
</file>

<file path=xl/sharedStrings.xml><?xml version="1.0" encoding="utf-8"?>
<sst xmlns="http://schemas.openxmlformats.org/spreadsheetml/2006/main" count="83" uniqueCount="78">
  <si>
    <t>PATRIMÔNIO</t>
  </si>
  <si>
    <t>ATIVO</t>
  </si>
  <si>
    <t>[A/P/S/D]</t>
  </si>
  <si>
    <t>START</t>
  </si>
  <si>
    <t>STOP</t>
  </si>
  <si>
    <t>TGT</t>
  </si>
  <si>
    <t>VOLAT</t>
  </si>
  <si>
    <t>DU BTC</t>
  </si>
  <si>
    <t>BTC</t>
  </si>
  <si>
    <t>RF</t>
  </si>
  <si>
    <t>RV</t>
  </si>
  <si>
    <t>RISCO</t>
  </si>
  <si>
    <t>PERDA BASE</t>
  </si>
  <si>
    <t>QTDE BASE 1</t>
  </si>
  <si>
    <t>QTDE 1</t>
  </si>
  <si>
    <t>QTDE BASE 2</t>
  </si>
  <si>
    <t>QTD2</t>
  </si>
  <si>
    <t>QTDE</t>
  </si>
  <si>
    <t>VL CP</t>
  </si>
  <si>
    <t>LIQD CP</t>
  </si>
  <si>
    <t>EMOL CP</t>
  </si>
  <si>
    <t>ISS XP</t>
  </si>
  <si>
    <t>TX CP</t>
  </si>
  <si>
    <t>BTC TX</t>
  </si>
  <si>
    <t>VL +/- TX</t>
  </si>
  <si>
    <t>P MED CP</t>
  </si>
  <si>
    <t>VL STOP</t>
  </si>
  <si>
    <t>LIQD STOP</t>
  </si>
  <si>
    <t>EMOL STOP</t>
  </si>
  <si>
    <t>ISS STOP</t>
  </si>
  <si>
    <t>TX STOP</t>
  </si>
  <si>
    <t>VL - TX STOP</t>
  </si>
  <si>
    <t>P MED STOP</t>
  </si>
  <si>
    <t>PERDA</t>
  </si>
  <si>
    <t>% PERDA</t>
  </si>
  <si>
    <t>% PARCIAL</t>
  </si>
  <si>
    <t>TGT 50%</t>
  </si>
  <si>
    <t>QTDE PARCIAL</t>
  </si>
  <si>
    <t>VL PARCIAL</t>
  </si>
  <si>
    <t>LIQD PARCIAL</t>
  </si>
  <si>
    <t>EMOL PARCIAL</t>
  </si>
  <si>
    <t>ISS PARCIAL</t>
  </si>
  <si>
    <t>TX PARCIAL</t>
  </si>
  <si>
    <t>VL - TX PARCIAL</t>
  </si>
  <si>
    <t>P MED PARCIAL</t>
  </si>
  <si>
    <t>LUCRO 50%</t>
  </si>
  <si>
    <t>QTDE TGT</t>
  </si>
  <si>
    <t>VL TGT</t>
  </si>
  <si>
    <t>LIQD TGT</t>
  </si>
  <si>
    <t>EMOL TGT</t>
  </si>
  <si>
    <t>ISS TGT</t>
  </si>
  <si>
    <t>TX TGT</t>
  </si>
  <si>
    <t>VL - TX TGT</t>
  </si>
  <si>
    <t>P MED TGT</t>
  </si>
  <si>
    <t>LUCRO TGT</t>
  </si>
  <si>
    <t>LUCRO</t>
  </si>
  <si>
    <t>% LUCRO</t>
  </si>
  <si>
    <t>PESO</t>
  </si>
  <si>
    <t>A</t>
  </si>
  <si>
    <t>GFSA3</t>
  </si>
  <si>
    <t>INEP4</t>
  </si>
  <si>
    <t>P</t>
  </si>
  <si>
    <t>FJTA4</t>
  </si>
  <si>
    <t>BEEF3</t>
  </si>
  <si>
    <t>IDADE</t>
  </si>
  <si>
    <t>NORMAL</t>
  </si>
  <si>
    <t>DAYTRADE</t>
  </si>
  <si>
    <t>CORRETAGEM</t>
  </si>
  <si>
    <t>ISS</t>
  </si>
  <si>
    <t>OUTROS</t>
  </si>
  <si>
    <t>IRRF N</t>
  </si>
  <si>
    <t>EMOL.</t>
  </si>
  <si>
    <t>LIQUID.</t>
  </si>
  <si>
    <t>CBLC</t>
  </si>
  <si>
    <t>COMISSÃO</t>
  </si>
  <si>
    <t>33%</t>
  </si>
  <si>
    <t>DATA OP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</si>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</sst>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&quot;R$ &quot;* #,##0.00_-;&quot;-R$ &quot;* #,##0.00_-;_-&quot;R$ &quot;* \-??_-;_-@_-"/>
    <numFmt numFmtId="165" formatCode="0.000"/>
    <numFmt numFmtId="166" formatCode="0.000%"/>
    <numFmt numFmtId="167" formatCode="0.0000%"/>
    <numFmt numFmtId="168" formatCode="[$R$-416]\ #,##0.00;[Red]\-[$R$-416]\ #,##0.00"/>
    <numFmt numFmtId="170" formatCode="d/m/yy;@"/>
  </numFmts>
  <fonts count="9" x14ac:knownFonts="1">
    <font>
      <sz val="11"/>
      <color indexed="8"/>
      <name val="Calibri"/>
      <family val="2"/>
    </font>
    <font>
      <sz val="9"/>
      <color indexed="8"/>
      <name val="Tahoma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b/>
      <sz val="8"/>
      <name val="Calibri"/>
      <family val="2"/>
    </font>
    <font>
      <sz val="11"/>
      <color indexed="8"/>
      <name val="Calibri"/>
      <family val="2"/>
    </font>
    <font>
      <b/>
      <sz val="8"/>
      <color theme="0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5" fillId="0" borderId="0" applyFill="0" applyBorder="0" applyAlignment="0" applyProtection="0"/>
    <xf numFmtId="9" fontId="5" fillId="0" borderId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Border="1"/>
    <xf numFmtId="0" fontId="2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10" fontId="2" fillId="0" borderId="0" xfId="2" applyNumberFormat="1" applyFont="1" applyFill="1" applyBorder="1" applyAlignment="1" applyProtection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6" fillId="0" borderId="0" xfId="1" applyFont="1" applyFill="1" applyBorder="1" applyAlignment="1" applyProtection="1">
      <alignment horizontal="left"/>
    </xf>
    <xf numFmtId="0" fontId="6" fillId="0" borderId="0" xfId="0" applyFont="1" applyFill="1" applyAlignment="1">
      <alignment horizontal="left"/>
    </xf>
    <xf numFmtId="9" fontId="6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170" fontId="8" fillId="0" borderId="0" xfId="1" applyNumberFormat="1" applyFont="1" applyFill="1" applyBorder="1" applyAlignment="1" applyProtection="1">
      <alignment horizontal="center"/>
    </xf>
    <xf numFmtId="164" fontId="8" fillId="0" borderId="0" xfId="1" applyFont="1" applyFill="1" applyBorder="1" applyAlignment="1" applyProtection="1">
      <alignment horizontal="center"/>
    </xf>
    <xf numFmtId="0" fontId="8" fillId="0" borderId="0" xfId="0" applyFont="1" applyFill="1" applyAlignment="1">
      <alignment horizontal="center"/>
    </xf>
    <xf numFmtId="2" fontId="8" fillId="0" borderId="0" xfId="1" applyNumberFormat="1" applyFont="1" applyFill="1" applyBorder="1" applyAlignment="1" applyProtection="1">
      <alignment horizontal="center"/>
    </xf>
    <xf numFmtId="10" fontId="8" fillId="0" borderId="0" xfId="2" applyNumberFormat="1" applyFont="1" applyFill="1" applyBorder="1" applyAlignment="1" applyProtection="1">
      <alignment horizontal="center"/>
    </xf>
    <xf numFmtId="1" fontId="8" fillId="0" borderId="0" xfId="1" applyNumberFormat="1" applyFont="1" applyFill="1" applyBorder="1" applyAlignment="1" applyProtection="1">
      <alignment horizontal="center"/>
    </xf>
    <xf numFmtId="10" fontId="8" fillId="0" borderId="0" xfId="2" applyNumberFormat="1" applyFont="1" applyFill="1" applyAlignment="1" applyProtection="1">
      <alignment horizontal="center"/>
    </xf>
    <xf numFmtId="164" fontId="8" fillId="0" borderId="0" xfId="1" applyFont="1" applyFill="1" applyAlignment="1" applyProtection="1">
      <alignment horizontal="center"/>
    </xf>
    <xf numFmtId="164" fontId="8" fillId="0" borderId="0" xfId="0" applyNumberFormat="1" applyFont="1" applyFill="1" applyAlignment="1">
      <alignment horizontal="center"/>
    </xf>
    <xf numFmtId="2" fontId="8" fillId="0" borderId="0" xfId="0" applyNumberFormat="1" applyFont="1" applyFill="1" applyAlignment="1">
      <alignment horizontal="center"/>
    </xf>
    <xf numFmtId="165" fontId="8" fillId="0" borderId="0" xfId="0" applyNumberFormat="1" applyFont="1" applyFill="1" applyAlignment="1">
      <alignment horizontal="center"/>
    </xf>
    <xf numFmtId="0" fontId="8" fillId="0" borderId="0" xfId="0" applyFont="1" applyFill="1"/>
    <xf numFmtId="0" fontId="8" fillId="0" borderId="0" xfId="0" applyNumberFormat="1" applyFont="1" applyFill="1" applyAlignment="1" applyProtection="1">
      <alignment horizontal="center"/>
    </xf>
    <xf numFmtId="164" fontId="8" fillId="0" borderId="0" xfId="1" applyFont="1" applyFill="1" applyBorder="1" applyAlignment="1" applyProtection="1"/>
  </cellXfs>
  <cellStyles count="3">
    <cellStyle name="Moeda" xfId="1" builtinId="4"/>
    <cellStyle name="Normal" xfId="0" builtinId="0"/>
    <cellStyle name="Porcentagem" xfId="2" builtinId="5"/>
  </cellStyles>
  <dxfs count="123"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 &quot;* #,##0.00_-;&quot;-R$ &quot;* #,##0.00_-;_-&quot;R$ &quot;* \-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 &quot;* #,##0.00_-;&quot;-R$ &quot;* #,##0.00_-;_-&quot;R$ &quot;* \-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 &quot;* #,##0.00_-;&quot;-R$ &quot;* #,##0.00_-;_-&quot;R$ &quot;* \-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 &quot;* #,##0.00_-;&quot;-R$ &quot;* #,##0.00_-;_-&quot;R$ &quot;* \-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 &quot;* #,##0.00_-;&quot;-R$ &quot;* #,##0.00_-;_-&quot;R$ &quot;* \-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 &quot;* #,##0.00_-;&quot;-R$ &quot;* #,##0.00_-;_-&quot;R$ &quot;* \-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 &quot;* #,##0.00_-;&quot;-R$ &quot;* #,##0.00_-;_-&quot;R$ &quot;* \-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d/m/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BH6" totalsRowCount="1" headerRowDxfId="2" dataDxfId="0" totalsRowDxfId="1">
  <autoFilter ref="A1:BH5"/>
  <tableColumns count="60">
    <tableColumn id="60" name="DATA OP" totalsRowLabel="Total" dataDxfId="122" totalsRowDxfId="121" dataCellStyle="Moeda"/>
    <tableColumn id="1" name="PATRIMÔNIO" dataDxfId="120" totalsRowDxfId="119" dataCellStyle="Moeda"/>
    <tableColumn id="2" name="ATIVO" dataDxfId="118" totalsRowDxfId="117" dataCellStyle="Moeda"/>
    <tableColumn id="3" name="[A/P/S/D]" dataDxfId="116" totalsRowDxfId="115"/>
    <tableColumn id="4" name="START" dataDxfId="114" totalsRowDxfId="113" dataCellStyle="Moeda"/>
    <tableColumn id="5" name="STOP" dataDxfId="112" totalsRowDxfId="111" dataCellStyle="Moeda"/>
    <tableColumn id="6" name="TGT" dataDxfId="110" totalsRowDxfId="109" dataCellStyle="Moeda"/>
    <tableColumn id="7" name="VOLAT" dataDxfId="108" totalsRowDxfId="107" dataCellStyle="Porcentagem"/>
    <tableColumn id="8" name="DU BTC" dataDxfId="106" totalsRowDxfId="105" dataCellStyle="Moeda"/>
    <tableColumn id="9" name="BTC" dataDxfId="104" totalsRowDxfId="103" dataCellStyle="Porcentagem"/>
    <tableColumn id="10" name="RF" dataDxfId="102" totalsRowDxfId="101" dataCellStyle="Moeda">
      <calculatedColumnFormula>B2*SETUP!$A$3/100</calculatedColumnFormula>
    </tableColumn>
    <tableColumn id="11" name="RV" dataDxfId="100" totalsRowDxfId="99" dataCellStyle="Moeda">
      <calculatedColumnFormula>B2-K2</calculatedColumnFormula>
    </tableColumn>
    <tableColumn id="12" name="33%" dataDxfId="98" totalsRowDxfId="97" dataCellStyle="Moeda">
      <calculatedColumnFormula>L2/3</calculatedColumnFormula>
    </tableColumn>
    <tableColumn id="13" name="RISCO" dataDxfId="96" totalsRowDxfId="95" dataCellStyle="Porcentagem">
      <calculatedColumnFormula>IF($D2="A",0.01,IF($D2="P",0.005,IF($D2="S",0.0025,IF($D2="D",0.0015,"ERRO"))))</calculatedColumnFormula>
    </tableColumn>
    <tableColumn id="14" name="PERDA BASE" dataDxfId="94" totalsRowDxfId="93">
      <calculatedColumnFormula>L2*N2</calculatedColumnFormula>
    </tableColumn>
    <tableColumn id="15" name="QTDE BASE 1" dataDxfId="92" totalsRowDxfId="91">
      <calculatedColumnFormula>ROUNDDOWN(O2/ABS($E2-$F2),0)</calculatedColumnFormula>
    </tableColumn>
    <tableColumn id="16" name="QTDE 1" dataDxfId="90" totalsRowDxfId="89">
      <calculatedColumnFormula>P2-MOD(P2,100)</calculatedColumnFormula>
    </tableColumn>
    <tableColumn id="17" name="QTDE BASE 2" dataDxfId="88" totalsRowDxfId="87">
      <calculatedColumnFormula>ROUNDDOWN(M2/E2,0)</calculatedColumnFormula>
    </tableColumn>
    <tableColumn id="18" name="QTD2" dataDxfId="86" totalsRowDxfId="85">
      <calculatedColumnFormula>R2-MOD(R2,100)</calculatedColumnFormula>
    </tableColumn>
    <tableColumn id="19" name="QTDE" dataDxfId="84" totalsRowDxfId="83">
      <calculatedColumnFormula>IF(P2*E2&gt;M2,S2,Q2)</calculatedColumnFormula>
    </tableColumn>
    <tableColumn id="20" name="VL CP" dataDxfId="82" totalsRowDxfId="81" dataCellStyle="Moeda">
      <calculatedColumnFormula>T2*E2</calculatedColumnFormula>
    </tableColumn>
    <tableColumn id="21" name="LIQD CP" dataDxfId="80" totalsRowDxfId="79">
      <calculatedColumnFormula>TRUNC(IF($D2="D","DAYTRADE",$U2*SETUP!$C$3),2)</calculatedColumnFormula>
    </tableColumn>
    <tableColumn id="22" name="EMOL CP" dataDxfId="78" totalsRowDxfId="77">
      <calculatedColumnFormula>TRUNC(IF($D2="D","DAYTRADE",$U2*SETUP!$B$3),2)</calculatedColumnFormula>
    </tableColumn>
    <tableColumn id="23" name="ISS XP" dataDxfId="76" totalsRowDxfId="75">
      <calculatedColumnFormula>TRUNC(SETUP!$F$3*SETUP!$G$3,2)</calculatedColumnFormula>
    </tableColumn>
    <tableColumn id="24" name="TX CP" dataDxfId="74" totalsRowDxfId="73">
      <calculatedColumnFormula>SETUP!$F$3+SUM(V2:X2)+TRUNC(SETUP!H3*SETUP!F3,2)</calculatedColumnFormula>
    </tableColumn>
    <tableColumn id="25" name="BTC TX" dataDxfId="72" totalsRowDxfId="71">
      <calculatedColumnFormula>IF(E2&gt;F2,0,IF(U2*SETUP!$J$3&gt;SETUP!$K$3,U2*SETUP!$J$3,SETUP!$K$3)+IF(U2*SETUP!$L$3&gt;SETUP!$M$3,U2*SETUP!$L$3,SETUP!$M$3))+((1+J2)^(I2/252)-1)*U2</calculatedColumnFormula>
    </tableColumn>
    <tableColumn id="26" name="VL +/- TX" dataDxfId="70" totalsRowDxfId="69">
      <calculatedColumnFormula>IF(E2&gt;F2,U2+Y2,U2-Y2-Z2)</calculatedColumnFormula>
    </tableColumn>
    <tableColumn id="27" name="P MED CP" dataDxfId="68" totalsRowDxfId="67">
      <calculatedColumnFormula>AA2/$T2</calculatedColumnFormula>
    </tableColumn>
    <tableColumn id="28" name="VL STOP" dataDxfId="66" totalsRowDxfId="65" dataCellStyle="Moeda">
      <calculatedColumnFormula>$T2*F2</calculatedColumnFormula>
    </tableColumn>
    <tableColumn id="29" name="LIQD STOP" dataDxfId="64" totalsRowDxfId="63">
      <calculatedColumnFormula>TRUNC(IF($D2="D","DAYTRADE",AC2*SETUP!$C$3),2)</calculatedColumnFormula>
    </tableColumn>
    <tableColumn id="30" name="EMOL STOP" dataDxfId="62" totalsRowDxfId="61">
      <calculatedColumnFormula>TRUNC(IF($D2="D","DAYTRADE",AC2*SETUP!$B$3),2)</calculatedColumnFormula>
    </tableColumn>
    <tableColumn id="31" name="ISS STOP" dataDxfId="60" totalsRowDxfId="59">
      <calculatedColumnFormula>TRUNC(SETUP!$F$3*SETUP!$G$3,2)</calculatedColumnFormula>
    </tableColumn>
    <tableColumn id="32" name="TX STOP" dataDxfId="58" totalsRowDxfId="57">
      <calculatedColumnFormula>SETUP!$F$3+SUM(AD2:AF2)+TRUNC(SETUP!$F$3*SETUP!$H$3,2)</calculatedColumnFormula>
    </tableColumn>
    <tableColumn id="33" name="VL - TX STOP" dataDxfId="56" totalsRowDxfId="55">
      <calculatedColumnFormula>IF(E2&gt;F2,AC2-AG2,AC2+AG2)</calculatedColumnFormula>
    </tableColumn>
    <tableColumn id="34" name="P MED STOP" dataDxfId="54" totalsRowDxfId="53">
      <calculatedColumnFormula>AH2/$T2</calculatedColumnFormula>
    </tableColumn>
    <tableColumn id="35" name="PERDA" dataDxfId="52" totalsRowDxfId="51" dataCellStyle="Moeda">
      <calculatedColumnFormula>IF(E2&gt;F2,AH2-AA2,AA2-AH2)</calculatedColumnFormula>
    </tableColumn>
    <tableColumn id="36" name="% PERDA" dataDxfId="50" totalsRowDxfId="49" dataCellStyle="Porcentagem">
      <calculatedColumnFormula>AJ2/B2</calculatedColumnFormula>
    </tableColumn>
    <tableColumn id="37" name="% PARCIAL" dataDxfId="48" totalsRowDxfId="47" dataCellStyle="Porcentagem">
      <calculatedColumnFormula>IF($D2="A",H2/10*1.5*3,IF($D2="P",H2/10*1.5*2,IF($D2="S",H2/10*1.5*3,IF($D2="D",0.01,"ERRO"))))</calculatedColumnFormula>
    </tableColumn>
    <tableColumn id="38" name="TGT 50%" dataDxfId="46" totalsRowDxfId="45">
      <calculatedColumnFormula>IF(E2&gt;F2,ROUNDUP((1+AL2)*E2,2),ROUNDDOWN((1-AL2)*E2,2))</calculatedColumnFormula>
    </tableColumn>
    <tableColumn id="39" name="QTDE PARCIAL" dataDxfId="44" totalsRowDxfId="43">
      <calculatedColumnFormula>$T2/2+MOD($T2/2,100)</calculatedColumnFormula>
    </tableColumn>
    <tableColumn id="40" name="VL PARCIAL" dataDxfId="42" totalsRowDxfId="41" dataCellStyle="Moeda">
      <calculatedColumnFormula>AM2*AN2</calculatedColumnFormula>
    </tableColumn>
    <tableColumn id="41" name="LIQD PARCIAL" dataDxfId="40" totalsRowDxfId="39">
      <calculatedColumnFormula>TRUNC(IF($D2="D","DAYTRADE",AO2*SETUP!$C$3),2)</calculatedColumnFormula>
    </tableColumn>
    <tableColumn id="42" name="EMOL PARCIAL" dataDxfId="38" totalsRowDxfId="37">
      <calculatedColumnFormula>TRUNC(IF($D2="D","DAYTRADE",AO2*SETUP!$B$3),2)</calculatedColumnFormula>
    </tableColumn>
    <tableColumn id="43" name="ISS PARCIAL" dataDxfId="36" totalsRowDxfId="35">
      <calculatedColumnFormula>TRUNC(SETUP!$F$3*SETUP!$G$3,2)</calculatedColumnFormula>
    </tableColumn>
    <tableColumn id="44" name="TX PARCIAL" dataDxfId="34" totalsRowDxfId="33">
      <calculatedColumnFormula>SETUP!$F$3+SUM(AP2:AR2)</calculatedColumnFormula>
    </tableColumn>
    <tableColumn id="45" name="VL - TX PARCIAL" dataDxfId="32" totalsRowDxfId="31">
      <calculatedColumnFormula>AO2-AS2</calculatedColumnFormula>
    </tableColumn>
    <tableColumn id="46" name="P MED PARCIAL" dataDxfId="30" totalsRowDxfId="29">
      <calculatedColumnFormula>AT2/AN2</calculatedColumnFormula>
    </tableColumn>
    <tableColumn id="47" name="LUCRO 50%" dataDxfId="28" totalsRowDxfId="27" dataCellStyle="Moeda">
      <calculatedColumnFormula>IF(E2&gt;F2,AU2*AN2-$AB2*AN2,$AB2*AN2-AU2*AN2)</calculatedColumnFormula>
    </tableColumn>
    <tableColumn id="48" name="QTDE TGT" dataDxfId="26" totalsRowDxfId="25">
      <calculatedColumnFormula>T2-AN2</calculatedColumnFormula>
    </tableColumn>
    <tableColumn id="49" name="VL TGT" dataDxfId="24" totalsRowDxfId="23" dataCellStyle="Moeda">
      <calculatedColumnFormula>G2*AW2</calculatedColumnFormula>
    </tableColumn>
    <tableColumn id="50" name="LIQD TGT" dataDxfId="22" totalsRowDxfId="21">
      <calculatedColumnFormula>TRUNC(IF($D2="D","DAYTRADE",AX2*SETUP!$C$3),2)</calculatedColumnFormula>
    </tableColumn>
    <tableColumn id="51" name="EMOL TGT" dataDxfId="20" totalsRowDxfId="19">
      <calculatedColumnFormula>TRUNC(IF($D2="D","DAYTRADE",AX2*SETUP!$B$3),2)</calculatedColumnFormula>
    </tableColumn>
    <tableColumn id="52" name="ISS TGT" dataDxfId="18" totalsRowDxfId="17">
      <calculatedColumnFormula>TRUNC(SETUP!$F$3*SETUP!$G$3,2)</calculatedColumnFormula>
    </tableColumn>
    <tableColumn id="53" name="TX TGT" dataDxfId="16" totalsRowDxfId="15">
      <calculatedColumnFormula>SETUP!$F$3+SUM(AY2:BA2)+TRUNC(SETUP!$F$3*SETUP!$H$3,2)</calculatedColumnFormula>
    </tableColumn>
    <tableColumn id="54" name="VL - TX TGT" dataDxfId="14" totalsRowDxfId="13">
      <calculatedColumnFormula>AX2-BB2</calculatedColumnFormula>
    </tableColumn>
    <tableColumn id="55" name="P MED TGT" dataDxfId="12" totalsRowDxfId="11">
      <calculatedColumnFormula>IF(AW2=0,0,BC2/AW2)</calculatedColumnFormula>
    </tableColumn>
    <tableColumn id="56" name="LUCRO TGT" dataDxfId="10" totalsRowDxfId="9" dataCellStyle="Moeda">
      <calculatedColumnFormula>IF(E2&gt;F2,BD2*AW2-$AB2*AW2,$AB2*AW2-BD2*AW2)</calculatedColumnFormula>
    </tableColumn>
    <tableColumn id="57" name="LUCRO" dataDxfId="8" totalsRowDxfId="7">
      <calculatedColumnFormula>AV2+BE2</calculatedColumnFormula>
    </tableColumn>
    <tableColumn id="58" name="% LUCRO" dataDxfId="6" totalsRowDxfId="5" dataCellStyle="Porcentagem">
      <calculatedColumnFormula>BF2/B2</calculatedColumnFormula>
    </tableColumn>
    <tableColumn id="59" name="PESO" dataDxfId="4" totalsRowDxfId="3">
      <calculatedColumnFormula>ROUND(BF2/ABS(AJ2),1)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6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BF10" sqref="BF10"/>
    </sheetView>
  </sheetViews>
  <sheetFormatPr defaultRowHeight="11.25" x14ac:dyDescent="0.2"/>
  <cols>
    <col min="1" max="1" width="10" style="29" bestFit="1" customWidth="1"/>
    <col min="2" max="2" width="12.85546875" style="29" bestFit="1" customWidth="1"/>
    <col min="3" max="3" width="8.28515625" style="27" bestFit="1" customWidth="1"/>
    <col min="4" max="4" width="10.140625" style="27" bestFit="1" customWidth="1"/>
    <col min="5" max="5" width="7.28515625" style="27" bestFit="1" customWidth="1"/>
    <col min="6" max="6" width="6.5703125" style="27" bestFit="1" customWidth="1"/>
    <col min="7" max="7" width="5.7109375" style="27" bestFit="1" customWidth="1"/>
    <col min="8" max="8" width="7.7109375" style="27" bestFit="1" customWidth="1"/>
    <col min="9" max="9" width="8" style="27" bestFit="1" customWidth="1"/>
    <col min="10" max="10" width="0" style="27" hidden="1" customWidth="1"/>
    <col min="11" max="12" width="10.42578125" style="27" hidden="1" customWidth="1"/>
    <col min="13" max="13" width="8" style="27" hidden="1" customWidth="1"/>
    <col min="14" max="18" width="0" style="27" hidden="1" customWidth="1"/>
    <col min="19" max="19" width="7.28515625" style="27" hidden="1" customWidth="1"/>
    <col min="20" max="25" width="9.140625" style="27" hidden="1" customWidth="1"/>
    <col min="26" max="26" width="10.42578125" style="27" hidden="1" customWidth="1"/>
    <col min="27" max="27" width="9.85546875" style="27" bestFit="1" customWidth="1"/>
    <col min="28" max="34" width="9.140625" style="27" hidden="1" customWidth="1"/>
    <col min="35" max="35" width="8.28515625" style="27" hidden="1" customWidth="1"/>
    <col min="36" max="36" width="7.7109375" style="27" bestFit="1" customWidth="1"/>
    <col min="37" max="37" width="9.140625" style="27" hidden="1" customWidth="1"/>
    <col min="38" max="38" width="9.85546875" style="27" hidden="1" customWidth="1"/>
    <col min="39" max="39" width="8.85546875" style="27" bestFit="1" customWidth="1"/>
    <col min="40" max="46" width="9.140625" style="27" hidden="1" customWidth="1"/>
    <col min="47" max="47" width="12" style="27" hidden="1" customWidth="1"/>
    <col min="48" max="48" width="10.85546875" style="27" bestFit="1" customWidth="1"/>
    <col min="49" max="55" width="9.140625" style="27" hidden="1" customWidth="1"/>
    <col min="56" max="56" width="12.140625" style="27" hidden="1" customWidth="1"/>
    <col min="57" max="57" width="10.42578125" style="27" bestFit="1" customWidth="1"/>
    <col min="58" max="58" width="9.85546875" style="27" bestFit="1" customWidth="1"/>
    <col min="59" max="59" width="9.140625" style="27" bestFit="1" customWidth="1"/>
    <col min="60" max="60" width="6.5703125" style="27" bestFit="1" customWidth="1"/>
    <col min="61" max="16384" width="9.140625" style="27"/>
  </cols>
  <sheetData>
    <row r="1" spans="1:60" s="13" customFormat="1" x14ac:dyDescent="0.2">
      <c r="A1" s="12" t="s">
        <v>76</v>
      </c>
      <c r="B1" s="12" t="s">
        <v>0</v>
      </c>
      <c r="C1" s="12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75</v>
      </c>
      <c r="N1" s="13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3" t="s">
        <v>17</v>
      </c>
      <c r="U1" s="15" t="s">
        <v>18</v>
      </c>
      <c r="V1" s="15" t="s">
        <v>19</v>
      </c>
      <c r="W1" s="15" t="s">
        <v>20</v>
      </c>
      <c r="X1" s="15" t="s">
        <v>21</v>
      </c>
      <c r="Y1" s="15" t="s">
        <v>22</v>
      </c>
      <c r="Z1" s="15" t="s">
        <v>23</v>
      </c>
      <c r="AA1" s="13" t="s">
        <v>24</v>
      </c>
      <c r="AB1" s="13" t="s">
        <v>25</v>
      </c>
      <c r="AC1" s="15" t="s">
        <v>26</v>
      </c>
      <c r="AD1" s="15" t="s">
        <v>27</v>
      </c>
      <c r="AE1" s="15" t="s">
        <v>28</v>
      </c>
      <c r="AF1" s="15" t="s">
        <v>29</v>
      </c>
      <c r="AG1" s="15" t="s">
        <v>30</v>
      </c>
      <c r="AH1" s="13" t="s">
        <v>31</v>
      </c>
      <c r="AI1" s="13" t="s">
        <v>32</v>
      </c>
      <c r="AJ1" s="13" t="s">
        <v>33</v>
      </c>
      <c r="AK1" s="15" t="s">
        <v>34</v>
      </c>
      <c r="AL1" s="15" t="s">
        <v>35</v>
      </c>
      <c r="AM1" s="13" t="s">
        <v>36</v>
      </c>
      <c r="AN1" s="13" t="s">
        <v>37</v>
      </c>
      <c r="AO1" s="15" t="s">
        <v>38</v>
      </c>
      <c r="AP1" s="15" t="s">
        <v>39</v>
      </c>
      <c r="AQ1" s="15" t="s">
        <v>40</v>
      </c>
      <c r="AR1" s="15" t="s">
        <v>41</v>
      </c>
      <c r="AS1" s="15" t="s">
        <v>42</v>
      </c>
      <c r="AT1" s="13" t="s">
        <v>43</v>
      </c>
      <c r="AU1" s="13" t="s">
        <v>44</v>
      </c>
      <c r="AV1" s="13" t="s">
        <v>45</v>
      </c>
      <c r="AW1" s="13" t="s">
        <v>46</v>
      </c>
      <c r="AX1" s="15" t="s">
        <v>47</v>
      </c>
      <c r="AY1" s="15" t="s">
        <v>48</v>
      </c>
      <c r="AZ1" s="15" t="s">
        <v>49</v>
      </c>
      <c r="BA1" s="15" t="s">
        <v>50</v>
      </c>
      <c r="BB1" s="15" t="s">
        <v>51</v>
      </c>
      <c r="BC1" s="13" t="s">
        <v>52</v>
      </c>
      <c r="BD1" s="13" t="s">
        <v>53</v>
      </c>
      <c r="BE1" s="13" t="s">
        <v>54</v>
      </c>
      <c r="BF1" s="13" t="s">
        <v>55</v>
      </c>
      <c r="BG1" s="13" t="s">
        <v>56</v>
      </c>
      <c r="BH1" s="13" t="s">
        <v>57</v>
      </c>
    </row>
    <row r="2" spans="1:60" s="18" customFormat="1" x14ac:dyDescent="0.2">
      <c r="A2" s="16">
        <v>40975</v>
      </c>
      <c r="B2" s="17">
        <v>5192.59</v>
      </c>
      <c r="C2" s="17" t="s">
        <v>62</v>
      </c>
      <c r="D2" s="18" t="s">
        <v>58</v>
      </c>
      <c r="E2" s="19">
        <v>2.12</v>
      </c>
      <c r="F2" s="19">
        <v>2.04</v>
      </c>
      <c r="G2" s="19">
        <v>4</v>
      </c>
      <c r="H2" s="20">
        <v>0.5</v>
      </c>
      <c r="I2" s="21">
        <v>0</v>
      </c>
      <c r="J2" s="22"/>
      <c r="K2" s="23">
        <f>B2*SETUP!$A$3/100</f>
        <v>1298.1475</v>
      </c>
      <c r="L2" s="23">
        <f>B2-K2</f>
        <v>3894.4425000000001</v>
      </c>
      <c r="M2" s="23">
        <f>L2/3</f>
        <v>1298.1475</v>
      </c>
      <c r="N2" s="22">
        <f>IF($D2="A",0.01,IF($D2="P",0.005,IF($D2="S",0.0025,IF($D2="D",0.0015,"ERRO"))))</f>
        <v>0.01</v>
      </c>
      <c r="O2" s="24">
        <f>L2*N2</f>
        <v>38.944425000000003</v>
      </c>
      <c r="P2" s="18">
        <f>ROUNDDOWN(O2/ABS($E2-$F2),0)</f>
        <v>486</v>
      </c>
      <c r="Q2" s="18">
        <f>P2-MOD(P2,100)</f>
        <v>400</v>
      </c>
      <c r="R2" s="18">
        <f>ROUNDDOWN(M2/E2,0)</f>
        <v>612</v>
      </c>
      <c r="S2" s="18">
        <f>R2-MOD(R2,100)</f>
        <v>600</v>
      </c>
      <c r="T2" s="18">
        <f>IF(P2*E2&gt;M2,S2,Q2)</f>
        <v>400</v>
      </c>
      <c r="U2" s="23">
        <f>T2*E2</f>
        <v>848</v>
      </c>
      <c r="V2" s="25">
        <f>TRUNC(IF($D2="D","DAYTRADE",$U2*SETUP!$C$3),2)</f>
        <v>0.23</v>
      </c>
      <c r="W2" s="25">
        <f>TRUNC(IF($D2="D","DAYTRADE",$U2*SETUP!$B$3),2)</f>
        <v>0.05</v>
      </c>
      <c r="X2" s="25">
        <f>TRUNC(SETUP!$F$3*SETUP!$G$3,2)</f>
        <v>0.28999999999999998</v>
      </c>
      <c r="Y2" s="25">
        <f>SETUP!$F$3+SUM(V2:X2)+TRUNC(SETUP!H3*SETUP!F3,2)</f>
        <v>16.05</v>
      </c>
      <c r="Z2" s="24">
        <f>IF(E2&gt;F2,0,IF(U2*SETUP!$J$3&gt;SETUP!$K$3,U2*SETUP!$J$3,SETUP!$K$3)+IF(U2*SETUP!$L$3&gt;SETUP!$M$3,U2*SETUP!$L$3,SETUP!$M$3))+((1+J2)^(I2/252)-1)*U2</f>
        <v>0</v>
      </c>
      <c r="AA2" s="24">
        <f>IF(E2&gt;F2,U2+Y2,U2-Y2-Z2)</f>
        <v>864.05</v>
      </c>
      <c r="AB2" s="26">
        <f>AA2/$T2</f>
        <v>2.1601249999999999</v>
      </c>
      <c r="AC2" s="23">
        <f>$T2*F2</f>
        <v>816</v>
      </c>
      <c r="AD2" s="25">
        <f>TRUNC(IF($D2="D","DAYTRADE",AC2*SETUP!$C$3),2)</f>
        <v>0.22</v>
      </c>
      <c r="AE2" s="25">
        <f>TRUNC(IF($D2="D","DAYTRADE",AC2*SETUP!$B$3),2)</f>
        <v>0.05</v>
      </c>
      <c r="AF2" s="25">
        <f>TRUNC(SETUP!$F$3*SETUP!$G$3,2)</f>
        <v>0.28999999999999998</v>
      </c>
      <c r="AG2" s="25">
        <f>SETUP!$F$3+SUM(AD2:AF2)+TRUNC(SETUP!$F$3*SETUP!$H$3,2)</f>
        <v>16.04</v>
      </c>
      <c r="AH2" s="24">
        <f>IF(E2&gt;F2,AC2-AG2,AC2+AG2)</f>
        <v>799.96</v>
      </c>
      <c r="AI2" s="26">
        <f>AH2/$T2</f>
        <v>1.9999</v>
      </c>
      <c r="AJ2" s="23">
        <f>IF(E2&gt;F2,AH2-AA2,AA2-AH2)</f>
        <v>-64.089999999999918</v>
      </c>
      <c r="AK2" s="22">
        <f>AJ2/B2</f>
        <v>-1.2342588188168123E-2</v>
      </c>
      <c r="AL2" s="22">
        <f>IF($D2="A",H2/10*1.5*3,IF($D2="P",H2/10*1.5*2,IF($D2="S",H2/10*1.5*3,IF($D2="D",0.01,"ERRO"))))</f>
        <v>0.22500000000000003</v>
      </c>
      <c r="AM2" s="18">
        <f>IF(E2&gt;F2,ROUNDUP((1+AL2)*E2,2),ROUNDDOWN((1-AL2)*E2,2))</f>
        <v>2.5999999999999996</v>
      </c>
      <c r="AN2" s="18">
        <f>$T2/2+MOD($T2/2,100)</f>
        <v>200</v>
      </c>
      <c r="AO2" s="23">
        <f>AM2*AN2</f>
        <v>519.99999999999989</v>
      </c>
      <c r="AP2" s="25">
        <f>TRUNC(IF($D2="D","DAYTRADE",AO2*SETUP!$C$3),2)</f>
        <v>0.14000000000000001</v>
      </c>
      <c r="AQ2" s="25">
        <f>TRUNC(IF($D2="D","DAYTRADE",AO2*SETUP!$B$3),2)</f>
        <v>0.03</v>
      </c>
      <c r="AR2" s="25">
        <f>TRUNC(SETUP!$F$3*SETUP!$G$3,2)</f>
        <v>0.28999999999999998</v>
      </c>
      <c r="AS2" s="25">
        <f>SETUP!$F$3+SUM(AP2:AR2)</f>
        <v>15.36</v>
      </c>
      <c r="AT2" s="24">
        <f>AO2-AS2</f>
        <v>504.63999999999987</v>
      </c>
      <c r="AU2" s="26">
        <f>AT2/AN2</f>
        <v>2.5231999999999992</v>
      </c>
      <c r="AV2" s="23">
        <f>IF(E2&gt;F2,AU2*AN2-$AB2*AN2,$AB2*AN2-AU2*AN2)</f>
        <v>72.614999999999895</v>
      </c>
      <c r="AW2" s="18">
        <f>T2-AN2</f>
        <v>200</v>
      </c>
      <c r="AX2" s="23">
        <f>G2*AW2</f>
        <v>800</v>
      </c>
      <c r="AY2" s="25">
        <f>TRUNC(IF($D2="D","DAYTRADE",AX2*SETUP!$C$3),2)</f>
        <v>0.22</v>
      </c>
      <c r="AZ2" s="25">
        <f>TRUNC(IF($D2="D","DAYTRADE",AX2*SETUP!$B$3),2)</f>
        <v>0.05</v>
      </c>
      <c r="BA2" s="25">
        <f>TRUNC(SETUP!$F$3*SETUP!$G$3,2)</f>
        <v>0.28999999999999998</v>
      </c>
      <c r="BB2" s="25">
        <f>SETUP!$F$3+SUM(AY2:BA2)+TRUNC(SETUP!$F$3*SETUP!$H$3,2)</f>
        <v>16.04</v>
      </c>
      <c r="BC2" s="24">
        <f>AX2-BB2</f>
        <v>783.96</v>
      </c>
      <c r="BD2" s="26">
        <f>IF(AW2=0,0,BC2/AW2)</f>
        <v>3.9198000000000004</v>
      </c>
      <c r="BE2" s="23">
        <f>IF(E2&gt;F2,BD2*AW2-$AB2*AW2,$AB2*AW2-BD2*AW2)</f>
        <v>351.93500000000006</v>
      </c>
      <c r="BF2" s="24">
        <f>AV2+BE2</f>
        <v>424.54999999999995</v>
      </c>
      <c r="BG2" s="22">
        <f>BF2/B2</f>
        <v>8.1760739823479214E-2</v>
      </c>
      <c r="BH2" s="18">
        <f>ROUND(BF2/ABS(AJ2),1)</f>
        <v>6.6</v>
      </c>
    </row>
    <row r="3" spans="1:60" s="18" customFormat="1" x14ac:dyDescent="0.2">
      <c r="A3" s="16">
        <v>40975</v>
      </c>
      <c r="B3" s="17">
        <v>5192.59</v>
      </c>
      <c r="C3" s="17" t="s">
        <v>59</v>
      </c>
      <c r="D3" s="18" t="s">
        <v>58</v>
      </c>
      <c r="E3" s="19">
        <v>4.95</v>
      </c>
      <c r="F3" s="19">
        <v>4.76</v>
      </c>
      <c r="G3" s="19">
        <v>14</v>
      </c>
      <c r="H3" s="20">
        <v>0.50509999999999999</v>
      </c>
      <c r="I3" s="21">
        <v>0</v>
      </c>
      <c r="J3" s="20">
        <v>0</v>
      </c>
      <c r="K3" s="17">
        <f>B3*SETUP!$A$3/100</f>
        <v>1298.1475</v>
      </c>
      <c r="L3" s="17">
        <f t="shared" ref="L3:L5" si="0">B3-K3</f>
        <v>3894.4425000000001</v>
      </c>
      <c r="M3" s="17">
        <f t="shared" ref="M3:M5" si="1">L3/3</f>
        <v>1298.1475</v>
      </c>
      <c r="N3" s="20">
        <f>IF($D3="A",0.01,IF($D3="P",0.005,IF($D3="S",0.0025,IF($D3="D",0.0015,"ERRO"))))</f>
        <v>0.01</v>
      </c>
      <c r="O3" s="24">
        <f t="shared" ref="O3:O5" si="2">L3*N3</f>
        <v>38.944425000000003</v>
      </c>
      <c r="P3" s="18">
        <f>ROUNDDOWN(O3/ABS($E3-$F3),0)</f>
        <v>204</v>
      </c>
      <c r="Q3" s="18">
        <f t="shared" ref="Q3:Q5" si="3">P3-MOD(P3,100)</f>
        <v>200</v>
      </c>
      <c r="R3" s="18">
        <f t="shared" ref="R3:R5" si="4">ROUNDDOWN(M3/E3,0)</f>
        <v>262</v>
      </c>
      <c r="S3" s="18">
        <f t="shared" ref="S3:S5" si="5">R3-MOD(R3,100)</f>
        <v>200</v>
      </c>
      <c r="T3" s="18">
        <f t="shared" ref="T3:T5" si="6">IF(P3*E3&gt;M3,S3,Q3)</f>
        <v>200</v>
      </c>
      <c r="U3" s="17">
        <f t="shared" ref="U3:U5" si="7">T3*E3</f>
        <v>990</v>
      </c>
      <c r="V3" s="25">
        <f>TRUNC(IF($D3="D","DAYTRADE",$U3*SETUP!$C$3),2)</f>
        <v>0.27</v>
      </c>
      <c r="W3" s="25">
        <f>TRUNC(IF($D3="D","DAYTRADE",$U3*SETUP!$B$3),2)</f>
        <v>0.06</v>
      </c>
      <c r="X3" s="25">
        <f>TRUNC(SETUP!$F$3*SETUP!$G$3,2)</f>
        <v>0.28999999999999998</v>
      </c>
      <c r="Y3" s="25">
        <f>SETUP!$F$3+SUM(V3:X3)+TRUNC(SETUP!H4*SETUP!F4,2)</f>
        <v>15.52</v>
      </c>
      <c r="Z3" s="24">
        <f>IF(E3&gt;F3,0,IF(U3*SETUP!$J$3&gt;SETUP!$K$3,U3*SETUP!$J$3,SETUP!$K$3)+IF(U3*SETUP!$L$3&gt;SETUP!$M$3,U3*SETUP!$L$3,SETUP!$M$3))+((1+J3)^(I3/252)-1)*U3</f>
        <v>0</v>
      </c>
      <c r="AA3" s="24">
        <f t="shared" ref="AA3:AA5" si="8">IF(E3&gt;F3,U3+Y3,U3-Y3-Z3)</f>
        <v>1005.52</v>
      </c>
      <c r="AB3" s="26">
        <f>AA3/$T3</f>
        <v>5.0275999999999996</v>
      </c>
      <c r="AC3" s="17">
        <f>$T3*F3</f>
        <v>952</v>
      </c>
      <c r="AD3" s="25">
        <f>TRUNC(IF($D3="D","DAYTRADE",AC3*SETUP!$C$3),2)</f>
        <v>0.26</v>
      </c>
      <c r="AE3" s="25">
        <f>TRUNC(IF($D3="D","DAYTRADE",AC3*SETUP!$B$3),2)</f>
        <v>0.06</v>
      </c>
      <c r="AF3" s="25">
        <f>TRUNC(SETUP!$F$3*SETUP!$G$3,2)</f>
        <v>0.28999999999999998</v>
      </c>
      <c r="AG3" s="25">
        <f>SETUP!$F$3+SUM(AD3:AF3)+TRUNC(SETUP!$F$3*SETUP!$H$3,2)</f>
        <v>16.09</v>
      </c>
      <c r="AH3" s="24">
        <f t="shared" ref="AH3:AH5" si="9">IF(E3&gt;F3,AC3-AG3,AC3+AG3)</f>
        <v>935.91</v>
      </c>
      <c r="AI3" s="26">
        <f>AH3/$T3</f>
        <v>4.6795499999999999</v>
      </c>
      <c r="AJ3" s="17">
        <f t="shared" ref="AJ3:AJ5" si="10">IF(E3&gt;F3,AH3-AA3,AA3-AH3)</f>
        <v>-69.610000000000014</v>
      </c>
      <c r="AK3" s="20">
        <f t="shared" ref="AK3:AK5" si="11">AJ3/B3</f>
        <v>-1.3405641500676928E-2</v>
      </c>
      <c r="AL3" s="20">
        <f>IF($D3="A",H3/10*1.5*3,IF($D3="P",H3/10*1.5*2,IF($D3="S",H3/10*1.5*3,IF($D3="D",0.01,"ERRO"))))</f>
        <v>0.227295</v>
      </c>
      <c r="AM3" s="18">
        <f t="shared" ref="AM3:AM5" si="12">IF(E3&gt;F3,ROUNDUP((1+AL3)*E3,2),ROUNDDOWN((1-AL3)*E3,2))</f>
        <v>6.08</v>
      </c>
      <c r="AN3" s="18">
        <f>$T3/2+MOD($T3/2,100)</f>
        <v>100</v>
      </c>
      <c r="AO3" s="17">
        <f t="shared" ref="AO3:AO5" si="13">AM3*AN3</f>
        <v>608</v>
      </c>
      <c r="AP3" s="25">
        <f>TRUNC(IF($D3="D","DAYTRADE",AO3*SETUP!$C$3),2)</f>
        <v>0.16</v>
      </c>
      <c r="AQ3" s="25">
        <f>TRUNC(IF($D3="D","DAYTRADE",AO3*SETUP!$B$3),2)</f>
        <v>0.04</v>
      </c>
      <c r="AR3" s="25">
        <f>TRUNC(SETUP!$F$3*SETUP!$G$3,2)</f>
        <v>0.28999999999999998</v>
      </c>
      <c r="AS3" s="25">
        <f>SETUP!$F$3+SUM(AP3:AR3)</f>
        <v>15.39</v>
      </c>
      <c r="AT3" s="24">
        <f t="shared" ref="AT3:AT5" si="14">AO3-AS3</f>
        <v>592.61</v>
      </c>
      <c r="AU3" s="26">
        <f t="shared" ref="AU3:AU5" si="15">AT3/AN3</f>
        <v>5.9260999999999999</v>
      </c>
      <c r="AV3" s="17">
        <f>IF(E3&gt;F3,AU3*AN3-$AB3*AN3,$AB3*AN3-AU3*AN3)</f>
        <v>89.850000000000023</v>
      </c>
      <c r="AW3" s="18">
        <f t="shared" ref="AW3:AW5" si="16">T3-AN3</f>
        <v>100</v>
      </c>
      <c r="AX3" s="17">
        <f t="shared" ref="AX3:AX5" si="17">G3*AW3</f>
        <v>1400</v>
      </c>
      <c r="AY3" s="25">
        <f>TRUNC(IF($D3="D","DAYTRADE",AX3*SETUP!$C$3),2)</f>
        <v>0.38</v>
      </c>
      <c r="AZ3" s="25">
        <f>TRUNC(IF($D3="D","DAYTRADE",AX3*SETUP!$B$3),2)</f>
        <v>0.09</v>
      </c>
      <c r="BA3" s="25">
        <f>TRUNC(SETUP!$F$3*SETUP!$G$3,2)</f>
        <v>0.28999999999999998</v>
      </c>
      <c r="BB3" s="25">
        <f>SETUP!$F$3+SUM(AY3:BA3)+TRUNC(SETUP!$F$3*SETUP!$H$3,2)</f>
        <v>16.239999999999998</v>
      </c>
      <c r="BC3" s="24">
        <f t="shared" ref="BC3:BC5" si="18">AX3-BB3</f>
        <v>1383.76</v>
      </c>
      <c r="BD3" s="26">
        <f t="shared" ref="BD3:BD5" si="19">IF(AW3=0,0,BC3/AW3)</f>
        <v>13.8376</v>
      </c>
      <c r="BE3" s="17">
        <f>IF(E3&gt;F3,BD3*AW3-$AB3*AW3,$AB3*AW3-BD3*AW3)</f>
        <v>881</v>
      </c>
      <c r="BF3" s="24">
        <f t="shared" ref="BF3:BF5" si="20">AV3+BE3</f>
        <v>970.85</v>
      </c>
      <c r="BG3" s="20">
        <f t="shared" ref="BG3:BG5" si="21">BF3/B3</f>
        <v>0.18696835297991946</v>
      </c>
      <c r="BH3" s="18">
        <f t="shared" ref="BH3:BH5" si="22">ROUND(BF3/ABS(AJ3),1)</f>
        <v>13.9</v>
      </c>
    </row>
    <row r="4" spans="1:60" x14ac:dyDescent="0.2">
      <c r="A4" s="16">
        <v>40977</v>
      </c>
      <c r="B4" s="17">
        <v>5192.59</v>
      </c>
      <c r="C4" s="17" t="s">
        <v>60</v>
      </c>
      <c r="D4" s="18" t="s">
        <v>58</v>
      </c>
      <c r="E4" s="19">
        <v>2.37</v>
      </c>
      <c r="F4" s="19">
        <v>2.2999999999999998</v>
      </c>
      <c r="G4" s="19">
        <v>7.4</v>
      </c>
      <c r="H4" s="20">
        <v>0.53490000000000004</v>
      </c>
      <c r="I4" s="21">
        <v>0</v>
      </c>
      <c r="J4" s="20">
        <v>0</v>
      </c>
      <c r="K4" s="17">
        <f>B4*SETUP!$A$3/100</f>
        <v>1298.1475</v>
      </c>
      <c r="L4" s="17">
        <f t="shared" si="0"/>
        <v>3894.4425000000001</v>
      </c>
      <c r="M4" s="17">
        <f t="shared" si="1"/>
        <v>1298.1475</v>
      </c>
      <c r="N4" s="20">
        <f>IF($D4="A",0.01,IF($D4="P",0.005,IF($D4="S",0.0025,IF($D4="D",0.0015,"ERRO"))))</f>
        <v>0.01</v>
      </c>
      <c r="O4" s="24">
        <f t="shared" si="2"/>
        <v>38.944425000000003</v>
      </c>
      <c r="P4" s="18">
        <f>ROUNDDOWN(O4/ABS($E4-$F4),0)</f>
        <v>556</v>
      </c>
      <c r="Q4" s="18">
        <f t="shared" si="3"/>
        <v>500</v>
      </c>
      <c r="R4" s="18">
        <f t="shared" si="4"/>
        <v>547</v>
      </c>
      <c r="S4" s="18">
        <f t="shared" si="5"/>
        <v>500</v>
      </c>
      <c r="T4" s="18">
        <f t="shared" si="6"/>
        <v>500</v>
      </c>
      <c r="U4" s="17">
        <f t="shared" si="7"/>
        <v>1185</v>
      </c>
      <c r="V4" s="25">
        <f>TRUNC(IF($D4="D","DAYTRADE",$U4*SETUP!$C$3),2)</f>
        <v>0.32</v>
      </c>
      <c r="W4" s="25">
        <f>TRUNC(IF($D4="D","DAYTRADE",$U4*SETUP!$B$3),2)</f>
        <v>0.08</v>
      </c>
      <c r="X4" s="25">
        <f>TRUNC(SETUP!$F$3*SETUP!$G$3,2)</f>
        <v>0.28999999999999998</v>
      </c>
      <c r="Y4" s="25">
        <f>SETUP!$F$3+SUM(V4:X4)+TRUNC(SETUP!H5*SETUP!F5,2)</f>
        <v>15.59</v>
      </c>
      <c r="Z4" s="24">
        <f>IF(E4&gt;F4,0,IF(U4*SETUP!$J$3&gt;SETUP!$K$3,U4*SETUP!$J$3,SETUP!$K$3)+IF(U4*SETUP!$L$3&gt;SETUP!$M$3,U4*SETUP!$L$3,SETUP!$M$3))+((1+J4)^(I4/252)-1)*U4</f>
        <v>0</v>
      </c>
      <c r="AA4" s="24">
        <f t="shared" si="8"/>
        <v>1200.5899999999999</v>
      </c>
      <c r="AB4" s="26">
        <f>AA4/$T4</f>
        <v>2.4011799999999996</v>
      </c>
      <c r="AC4" s="17">
        <f>$T4*F4</f>
        <v>1150</v>
      </c>
      <c r="AD4" s="25">
        <f>TRUNC(IF($D4="D","DAYTRADE",AC4*SETUP!$C$3),2)</f>
        <v>0.31</v>
      </c>
      <c r="AE4" s="25">
        <f>TRUNC(IF($D4="D","DAYTRADE",AC4*SETUP!$B$3),2)</f>
        <v>0.08</v>
      </c>
      <c r="AF4" s="25">
        <f>TRUNC(SETUP!$F$3*SETUP!$G$3,2)</f>
        <v>0.28999999999999998</v>
      </c>
      <c r="AG4" s="25">
        <f>SETUP!$F$3+SUM(AD4:AF4)+TRUNC(SETUP!$F$3*SETUP!$H$3,2)</f>
        <v>16.16</v>
      </c>
      <c r="AH4" s="24">
        <f t="shared" si="9"/>
        <v>1133.8399999999999</v>
      </c>
      <c r="AI4" s="26">
        <f>AH4/$T4</f>
        <v>2.2676799999999999</v>
      </c>
      <c r="AJ4" s="17">
        <f t="shared" si="10"/>
        <v>-66.75</v>
      </c>
      <c r="AK4" s="20">
        <f t="shared" si="11"/>
        <v>-1.2854856632239403E-2</v>
      </c>
      <c r="AL4" s="20">
        <f>IF($D4="A",H4/10*1.5*3,IF($D4="P",H4/10*1.5*2,IF($D4="S",H4/10*1.5*3,IF($D4="D",0.01,"ERRO"))))</f>
        <v>0.240705</v>
      </c>
      <c r="AM4" s="18">
        <f t="shared" si="12"/>
        <v>2.9499999999999997</v>
      </c>
      <c r="AN4" s="18">
        <f>$T4/2+MOD($T4/2,100)</f>
        <v>300</v>
      </c>
      <c r="AO4" s="17">
        <f t="shared" si="13"/>
        <v>884.99999999999989</v>
      </c>
      <c r="AP4" s="25">
        <f>TRUNC(IF($D4="D","DAYTRADE",AO4*SETUP!$C$3),2)</f>
        <v>0.24</v>
      </c>
      <c r="AQ4" s="25">
        <f>TRUNC(IF($D4="D","DAYTRADE",AO4*SETUP!$B$3),2)</f>
        <v>0.06</v>
      </c>
      <c r="AR4" s="25">
        <f>TRUNC(SETUP!$F$3*SETUP!$G$3,2)</f>
        <v>0.28999999999999998</v>
      </c>
      <c r="AS4" s="25">
        <f>SETUP!$F$3+SUM(AP4:AR4)</f>
        <v>15.49</v>
      </c>
      <c r="AT4" s="24">
        <f t="shared" si="14"/>
        <v>869.50999999999988</v>
      </c>
      <c r="AU4" s="26">
        <f t="shared" si="15"/>
        <v>2.8983666666666661</v>
      </c>
      <c r="AV4" s="17">
        <f>IF(E4&gt;F4,AU4*AN4-$AB4*AN4,$AB4*AN4-AU4*AN4)</f>
        <v>149.15599999999995</v>
      </c>
      <c r="AW4" s="18">
        <f t="shared" si="16"/>
        <v>200</v>
      </c>
      <c r="AX4" s="17">
        <f t="shared" si="17"/>
        <v>1480</v>
      </c>
      <c r="AY4" s="25">
        <f>TRUNC(IF($D4="D","DAYTRADE",AX4*SETUP!$C$3),2)</f>
        <v>0.4</v>
      </c>
      <c r="AZ4" s="25">
        <f>TRUNC(IF($D4="D","DAYTRADE",AX4*SETUP!$B$3),2)</f>
        <v>0.1</v>
      </c>
      <c r="BA4" s="25">
        <f>TRUNC(SETUP!$F$3*SETUP!$G$3,2)</f>
        <v>0.28999999999999998</v>
      </c>
      <c r="BB4" s="25">
        <f>SETUP!$F$3+SUM(AY4:BA4)+TRUNC(SETUP!$F$3*SETUP!$H$3,2)</f>
        <v>16.27</v>
      </c>
      <c r="BC4" s="24">
        <f t="shared" si="18"/>
        <v>1463.73</v>
      </c>
      <c r="BD4" s="26">
        <f t="shared" si="19"/>
        <v>7.3186499999999999</v>
      </c>
      <c r="BE4" s="17">
        <f>IF(E4&gt;F4,BD4*AW4-$AB4*AW4,$AB4*AW4-BD4*AW4)</f>
        <v>983.49400000000014</v>
      </c>
      <c r="BF4" s="24">
        <f t="shared" si="20"/>
        <v>1132.6500000000001</v>
      </c>
      <c r="BG4" s="20">
        <f t="shared" si="21"/>
        <v>0.21812814029222413</v>
      </c>
      <c r="BH4" s="18">
        <f t="shared" si="22"/>
        <v>17</v>
      </c>
    </row>
    <row r="5" spans="1:60" x14ac:dyDescent="0.2">
      <c r="A5" s="16">
        <v>40981</v>
      </c>
      <c r="B5" s="17">
        <v>5192.59</v>
      </c>
      <c r="C5" s="17" t="s">
        <v>63</v>
      </c>
      <c r="D5" s="18" t="s">
        <v>61</v>
      </c>
      <c r="E5" s="19">
        <v>6.37</v>
      </c>
      <c r="F5" s="19">
        <v>6.46</v>
      </c>
      <c r="G5" s="19">
        <v>4.5</v>
      </c>
      <c r="H5" s="20">
        <v>0.39740000000000003</v>
      </c>
      <c r="I5" s="21">
        <v>40</v>
      </c>
      <c r="J5" s="20">
        <v>4.4999999999999998E-2</v>
      </c>
      <c r="K5" s="17">
        <f>B5*SETUP!$A$3/100</f>
        <v>1298.1475</v>
      </c>
      <c r="L5" s="17">
        <f t="shared" si="0"/>
        <v>3894.4425000000001</v>
      </c>
      <c r="M5" s="17">
        <f t="shared" si="1"/>
        <v>1298.1475</v>
      </c>
      <c r="N5" s="20">
        <f>IF($D5="A",0.01,IF($D5="P",0.005,IF($D5="S",0.0025,IF($D5="D",0.0015,"ERRO"))))</f>
        <v>5.0000000000000001E-3</v>
      </c>
      <c r="O5" s="24">
        <f t="shared" si="2"/>
        <v>19.472212500000001</v>
      </c>
      <c r="P5" s="18">
        <f>ROUNDDOWN(O5/ABS($E5-$F5),0)</f>
        <v>216</v>
      </c>
      <c r="Q5" s="18">
        <f t="shared" si="3"/>
        <v>200</v>
      </c>
      <c r="R5" s="18">
        <f t="shared" si="4"/>
        <v>203</v>
      </c>
      <c r="S5" s="18">
        <f t="shared" si="5"/>
        <v>200</v>
      </c>
      <c r="T5" s="18">
        <f t="shared" si="6"/>
        <v>200</v>
      </c>
      <c r="U5" s="17">
        <f t="shared" si="7"/>
        <v>1274</v>
      </c>
      <c r="V5" s="25">
        <f>TRUNC(IF($D5="D","DAYTRADE",$U5*SETUP!$C$3),2)</f>
        <v>0.35</v>
      </c>
      <c r="W5" s="25">
        <f>TRUNC(IF($D5="D","DAYTRADE",$U5*SETUP!$B$3),2)</f>
        <v>0.08</v>
      </c>
      <c r="X5" s="25">
        <f>TRUNC(SETUP!$F$3*SETUP!$G$3,2)</f>
        <v>0.28999999999999998</v>
      </c>
      <c r="Y5" s="25">
        <f>SETUP!$F$3+SUM(V5:X5)+TRUNC(SETUP!H8*SETUP!F8,2)</f>
        <v>15.620000000000001</v>
      </c>
      <c r="Z5" s="24">
        <f>IF(E5&gt;F5,0,IF(U5*SETUP!$J$3&gt;SETUP!$K$3,U5*SETUP!$J$3,SETUP!$K$3)+IF(U5*SETUP!$L$3&gt;SETUP!$M$3,U5*SETUP!$L$3,SETUP!$M$3))+((1+J5)^(I5/252)-1)*U5</f>
        <v>25.302360387835041</v>
      </c>
      <c r="AA5" s="24">
        <f t="shared" si="8"/>
        <v>1233.0776396121651</v>
      </c>
      <c r="AB5" s="26">
        <f>AA5/$T5</f>
        <v>6.1653881980608256</v>
      </c>
      <c r="AC5" s="17">
        <f>$T5*F5</f>
        <v>1292</v>
      </c>
      <c r="AD5" s="25">
        <f>TRUNC(IF($D5="D","DAYTRADE",AC5*SETUP!$C$3),2)</f>
        <v>0.35</v>
      </c>
      <c r="AE5" s="25">
        <f>TRUNC(IF($D5="D","DAYTRADE",AC5*SETUP!$B$3),2)</f>
        <v>0.09</v>
      </c>
      <c r="AF5" s="25">
        <f>TRUNC(SETUP!$F$3*SETUP!$G$3,2)</f>
        <v>0.28999999999999998</v>
      </c>
      <c r="AG5" s="25">
        <f>SETUP!$F$3+SUM(AD5:AF5)+TRUNC(SETUP!$F$3*SETUP!$H$3,2)</f>
        <v>16.21</v>
      </c>
      <c r="AH5" s="24">
        <f t="shared" si="9"/>
        <v>1308.21</v>
      </c>
      <c r="AI5" s="26">
        <f>AH5/$T5</f>
        <v>6.5410500000000003</v>
      </c>
      <c r="AJ5" s="17">
        <f t="shared" si="10"/>
        <v>-75.132360387834979</v>
      </c>
      <c r="AK5" s="20">
        <f t="shared" si="11"/>
        <v>-1.4469149381683317E-2</v>
      </c>
      <c r="AL5" s="20">
        <f>IF($D5="A",H5/10*1.5*3,IF($D5="P",H5/10*1.5*2,IF($D5="S",H5/10*1.5*3,IF($D5="D",0.01,"ERRO"))))</f>
        <v>0.11922000000000002</v>
      </c>
      <c r="AM5" s="18">
        <f t="shared" si="12"/>
        <v>5.61</v>
      </c>
      <c r="AN5" s="18">
        <f>$T5/2+MOD($T5/2,100)</f>
        <v>100</v>
      </c>
      <c r="AO5" s="17">
        <f t="shared" si="13"/>
        <v>561</v>
      </c>
      <c r="AP5" s="25">
        <f>TRUNC(IF($D5="D","DAYTRADE",AO5*SETUP!$C$3),2)</f>
        <v>0.15</v>
      </c>
      <c r="AQ5" s="25">
        <f>TRUNC(IF($D5="D","DAYTRADE",AO5*SETUP!$B$3),2)</f>
        <v>0.03</v>
      </c>
      <c r="AR5" s="25">
        <f>TRUNC(SETUP!$F$3*SETUP!$G$3,2)</f>
        <v>0.28999999999999998</v>
      </c>
      <c r="AS5" s="25">
        <f>SETUP!$F$3+SUM(AP5:AR5)</f>
        <v>15.370000000000001</v>
      </c>
      <c r="AT5" s="24">
        <f t="shared" si="14"/>
        <v>545.63</v>
      </c>
      <c r="AU5" s="26">
        <f t="shared" si="15"/>
        <v>5.4562999999999997</v>
      </c>
      <c r="AV5" s="17">
        <f>IF(E5&gt;F5,AU5*AN5-$AB5*AN5,$AB5*AN5-AU5*AN5)</f>
        <v>70.908819806082533</v>
      </c>
      <c r="AW5" s="18">
        <f t="shared" si="16"/>
        <v>100</v>
      </c>
      <c r="AX5" s="17">
        <f t="shared" si="17"/>
        <v>450</v>
      </c>
      <c r="AY5" s="25">
        <f>TRUNC(IF($D5="D","DAYTRADE",AX5*SETUP!$C$3),2)</f>
        <v>0.12</v>
      </c>
      <c r="AZ5" s="25">
        <f>TRUNC(IF($D5="D","DAYTRADE",AX5*SETUP!$B$3),2)</f>
        <v>0.03</v>
      </c>
      <c r="BA5" s="25">
        <f>TRUNC(SETUP!$F$3*SETUP!$G$3,2)</f>
        <v>0.28999999999999998</v>
      </c>
      <c r="BB5" s="25">
        <f>SETUP!$F$3+SUM(AY5:BA5)+TRUNC(SETUP!$F$3*SETUP!$H$3,2)</f>
        <v>15.92</v>
      </c>
      <c r="BC5" s="24">
        <f t="shared" si="18"/>
        <v>434.08</v>
      </c>
      <c r="BD5" s="26">
        <f t="shared" si="19"/>
        <v>4.3407999999999998</v>
      </c>
      <c r="BE5" s="17">
        <f>IF(E5&gt;F5,BD5*AW5-$AB5*AW5,$AB5*AW5-BD5*AW5)</f>
        <v>182.45881980608254</v>
      </c>
      <c r="BF5" s="24">
        <f t="shared" si="20"/>
        <v>253.36763961216508</v>
      </c>
      <c r="BG5" s="20">
        <f t="shared" si="21"/>
        <v>4.8794077639899368E-2</v>
      </c>
      <c r="BH5" s="18">
        <f t="shared" si="22"/>
        <v>3.4</v>
      </c>
    </row>
    <row r="6" spans="1:60" x14ac:dyDescent="0.2">
      <c r="A6" s="28" t="s">
        <v>77</v>
      </c>
      <c r="B6" s="28"/>
      <c r="C6" s="28"/>
      <c r="D6" s="18"/>
      <c r="E6" s="28"/>
      <c r="F6" s="28"/>
      <c r="G6" s="28"/>
      <c r="H6" s="28"/>
      <c r="I6" s="28"/>
      <c r="J6" s="28"/>
      <c r="K6" s="28"/>
      <c r="L6" s="28"/>
      <c r="M6" s="28"/>
      <c r="N6" s="28"/>
      <c r="O6" s="18"/>
      <c r="P6" s="18"/>
      <c r="Q6" s="18"/>
      <c r="R6" s="18"/>
      <c r="S6" s="18"/>
      <c r="T6" s="18"/>
      <c r="U6" s="28"/>
      <c r="V6" s="18"/>
      <c r="W6" s="18"/>
      <c r="X6" s="18"/>
      <c r="Y6" s="18"/>
      <c r="Z6" s="18"/>
      <c r="AA6" s="18"/>
      <c r="AB6" s="18"/>
      <c r="AC6" s="28"/>
      <c r="AD6" s="18"/>
      <c r="AE6" s="18"/>
      <c r="AF6" s="18"/>
      <c r="AG6" s="18"/>
      <c r="AH6" s="18"/>
      <c r="AI6" s="18"/>
      <c r="AJ6" s="28"/>
      <c r="AK6" s="28"/>
      <c r="AL6" s="28"/>
      <c r="AM6" s="18"/>
      <c r="AN6" s="18"/>
      <c r="AO6" s="28"/>
      <c r="AP6" s="18"/>
      <c r="AQ6" s="18"/>
      <c r="AR6" s="18"/>
      <c r="AS6" s="18"/>
      <c r="AT6" s="18"/>
      <c r="AU6" s="18"/>
      <c r="AV6" s="28"/>
      <c r="AW6" s="18"/>
      <c r="AX6" s="28"/>
      <c r="AY6" s="18"/>
      <c r="AZ6" s="18"/>
      <c r="BA6" s="18"/>
      <c r="BB6" s="18"/>
      <c r="BC6" s="18"/>
      <c r="BD6" s="18"/>
      <c r="BE6" s="28"/>
      <c r="BF6" s="18"/>
      <c r="BG6" s="28"/>
      <c r="BH6" s="18"/>
    </row>
  </sheetData>
  <sheetProtection selectLockedCells="1" selectUnlockedCells="1"/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/>
  <headerFooter alignWithMargins="0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6" sqref="K6"/>
    </sheetView>
  </sheetViews>
  <sheetFormatPr defaultColWidth="11.5703125" defaultRowHeight="11.25" x14ac:dyDescent="0.2"/>
  <cols>
    <col min="1" max="1" width="5.140625" style="1" customWidth="1"/>
    <col min="2" max="2" width="6" style="2" customWidth="1"/>
    <col min="3" max="3" width="6.85546875" style="2" customWidth="1"/>
    <col min="4" max="4" width="6" style="2" customWidth="1"/>
    <col min="5" max="5" width="6.85546875" style="2" customWidth="1"/>
    <col min="6" max="6" width="10.140625" style="2" customWidth="1"/>
    <col min="7" max="7" width="6.140625" style="2" customWidth="1"/>
    <col min="8" max="8" width="8.5703125" style="2" customWidth="1"/>
    <col min="9" max="9" width="6" style="2" customWidth="1"/>
    <col min="10" max="10" width="5.140625" style="2" customWidth="1"/>
    <col min="11" max="11" width="6.85546875" style="2" customWidth="1"/>
    <col min="12" max="12" width="5.140625" style="2" customWidth="1"/>
    <col min="13" max="13" width="6" style="2" customWidth="1"/>
    <col min="14" max="16384" width="11.5703125" style="2"/>
  </cols>
  <sheetData>
    <row r="1" spans="1:13" ht="15" customHeight="1" x14ac:dyDescent="0.2">
      <c r="A1" s="10" t="s">
        <v>64</v>
      </c>
      <c r="B1" s="11" t="s">
        <v>65</v>
      </c>
      <c r="C1" s="11"/>
      <c r="D1" s="11" t="s">
        <v>66</v>
      </c>
      <c r="E1" s="11"/>
      <c r="F1" s="11" t="s">
        <v>67</v>
      </c>
      <c r="G1" s="11" t="s">
        <v>68</v>
      </c>
      <c r="H1" s="11" t="s">
        <v>69</v>
      </c>
      <c r="I1" s="11" t="s">
        <v>70</v>
      </c>
      <c r="J1" s="10" t="s">
        <v>8</v>
      </c>
      <c r="K1" s="10"/>
      <c r="L1" s="10"/>
      <c r="M1" s="10"/>
    </row>
    <row r="2" spans="1:13" x14ac:dyDescent="0.2">
      <c r="A2" s="10"/>
      <c r="B2" s="3" t="s">
        <v>71</v>
      </c>
      <c r="C2" s="3" t="s">
        <v>72</v>
      </c>
      <c r="D2" s="3" t="s">
        <v>71</v>
      </c>
      <c r="E2" s="3" t="s">
        <v>72</v>
      </c>
      <c r="F2" s="11"/>
      <c r="G2" s="11"/>
      <c r="H2" s="11"/>
      <c r="I2" s="11"/>
      <c r="J2" s="10" t="s">
        <v>73</v>
      </c>
      <c r="K2" s="10"/>
      <c r="L2" s="10" t="s">
        <v>74</v>
      </c>
      <c r="M2" s="10"/>
    </row>
    <row r="3" spans="1:13" x14ac:dyDescent="0.2">
      <c r="A3" s="4">
        <v>25</v>
      </c>
      <c r="B3" s="5">
        <v>7.0000000000000007E-5</v>
      </c>
      <c r="C3" s="6">
        <v>2.7500000000000002E-4</v>
      </c>
      <c r="D3" s="5">
        <v>7.0000000000000007E-5</v>
      </c>
      <c r="E3" s="6">
        <v>1.8000000000000001E-4</v>
      </c>
      <c r="F3" s="7">
        <v>14.9</v>
      </c>
      <c r="G3" s="8">
        <v>0.02</v>
      </c>
      <c r="H3" s="9">
        <v>3.9E-2</v>
      </c>
      <c r="I3" s="5">
        <v>5.0000000000000002E-5</v>
      </c>
      <c r="J3" s="9">
        <v>2.5000000000000001E-3</v>
      </c>
      <c r="K3" s="7">
        <v>10</v>
      </c>
      <c r="L3" s="9">
        <v>5.0000000000000001E-3</v>
      </c>
      <c r="M3" s="7">
        <v>4</v>
      </c>
    </row>
  </sheetData>
  <sheetProtection selectLockedCells="1" selectUnlockedCells="1"/>
  <mergeCells count="10">
    <mergeCell ref="I1:I2"/>
    <mergeCell ref="J1:M1"/>
    <mergeCell ref="J2:K2"/>
    <mergeCell ref="L2:M2"/>
    <mergeCell ref="A1:A2"/>
    <mergeCell ref="B1:C1"/>
    <mergeCell ref="D1:E1"/>
    <mergeCell ref="F1:F2"/>
    <mergeCell ref="G1:G2"/>
    <mergeCell ref="H1:H2"/>
  </mergeCells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5" zoomScaleNormal="95" workbookViewId="0"/>
  </sheetViews>
  <sheetFormatPr defaultRowHeight="15" x14ac:dyDescent="0.25"/>
  <sheetData/>
  <sheetProtection selectLockedCells="1" selectUnlockedCells="1"/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TRADES</vt:lpstr>
      <vt:lpstr>SETUP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2012-03-10T01:09:39Z</dcterms:created>
  <dcterms:modified xsi:type="dcterms:W3CDTF">2012-03-10T11:42:54Z</dcterms:modified>
</cp:coreProperties>
</file>