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S3" i="1" l="1"/>
  <c r="R3" i="1" s="1"/>
  <c r="S4" i="1"/>
  <c r="R4" i="1" s="1"/>
  <c r="S2" i="1"/>
  <c r="T2" i="1" s="1"/>
  <c r="O3" i="1"/>
  <c r="O4" i="1"/>
  <c r="P4" i="1" s="1"/>
  <c r="O2" i="1"/>
  <c r="P2" i="1" s="1"/>
  <c r="R2" i="1" l="1"/>
  <c r="T4" i="1"/>
  <c r="T3" i="1"/>
  <c r="P3" i="1"/>
  <c r="Q2" i="1"/>
  <c r="W2" i="1" s="1"/>
  <c r="G2" i="1"/>
  <c r="H2" i="1" s="1"/>
  <c r="I2" i="1" s="1"/>
  <c r="AA2" i="1" l="1"/>
  <c r="Z2" i="1"/>
  <c r="K2" i="1"/>
  <c r="L2" i="1"/>
  <c r="J2" i="1"/>
  <c r="U2" i="1"/>
  <c r="X2" i="1" s="1"/>
  <c r="V2" i="1"/>
  <c r="Q4" i="1"/>
  <c r="U4" i="1" s="1"/>
  <c r="Q3" i="1"/>
  <c r="U3" i="1" s="1"/>
  <c r="Y2" i="1" l="1"/>
  <c r="AB2" i="1" s="1"/>
  <c r="AC2" i="1" s="1"/>
  <c r="M2" i="1"/>
  <c r="N2" i="1" s="1"/>
  <c r="W4" i="1"/>
  <c r="W3" i="1"/>
  <c r="V4" i="1"/>
  <c r="V3" i="1"/>
  <c r="AD2" i="1" l="1"/>
  <c r="G3" i="1"/>
  <c r="H3" i="1" s="1"/>
  <c r="X3" i="1" s="1"/>
  <c r="AE2" i="1" l="1"/>
  <c r="AF2" i="1" s="1"/>
  <c r="Y3" i="1"/>
  <c r="I3" i="1"/>
  <c r="AH2" i="1" l="1"/>
  <c r="AI2" i="1" s="1"/>
  <c r="AG2" i="1"/>
  <c r="AA3" i="1"/>
  <c r="Z3" i="1"/>
  <c r="J3" i="1"/>
  <c r="K3" i="1"/>
  <c r="L3" i="1"/>
  <c r="AB3" i="1" l="1"/>
  <c r="AC3" i="1" s="1"/>
  <c r="M3" i="1"/>
  <c r="N3" i="1" s="1"/>
  <c r="G4" i="1"/>
  <c r="H4" i="1" s="1"/>
  <c r="X4" i="1" s="1"/>
  <c r="Y4" i="1" l="1"/>
  <c r="AD3" i="1"/>
  <c r="I4" i="1"/>
  <c r="AE3" i="1" l="1"/>
  <c r="AF3" i="1"/>
  <c r="Z4" i="1"/>
  <c r="AA4" i="1"/>
  <c r="L4" i="1"/>
  <c r="J4" i="1"/>
  <c r="K4" i="1"/>
  <c r="AG3" i="1" l="1"/>
  <c r="AH3" i="1"/>
  <c r="AI3" i="1" s="1"/>
  <c r="AB4" i="1"/>
  <c r="AC4" i="1" s="1"/>
  <c r="M4" i="1"/>
  <c r="N4" i="1" s="1"/>
  <c r="AD4" i="1" l="1"/>
  <c r="AE4" i="1" l="1"/>
  <c r="AF4" i="1" s="1"/>
  <c r="AG4" i="1" l="1"/>
  <c r="AH4" i="1"/>
  <c r="AI4" i="1" s="1"/>
</calcChain>
</file>

<file path=xl/sharedStrings.xml><?xml version="1.0" encoding="utf-8"?>
<sst xmlns="http://schemas.openxmlformats.org/spreadsheetml/2006/main" count="51" uniqueCount="40">
  <si>
    <t>APLICAÇÃO</t>
  </si>
  <si>
    <t>VL AÇÃO</t>
  </si>
  <si>
    <t>EX. OPÇÃO</t>
  </si>
  <si>
    <t>VL OPÇÃO</t>
  </si>
  <si>
    <t>QTDE</t>
  </si>
  <si>
    <t>QTDE TMP</t>
  </si>
  <si>
    <t>VL AÇÃO TGT</t>
  </si>
  <si>
    <t>% AÇÃO</t>
  </si>
  <si>
    <t>TOTAL</t>
  </si>
  <si>
    <t>RETIRADA</t>
  </si>
  <si>
    <t>% LUCRO</t>
  </si>
  <si>
    <t>100% VL OP TGT</t>
  </si>
  <si>
    <t>100% VL AÇÃO TGT</t>
  </si>
  <si>
    <t>100% % AÇÃO</t>
  </si>
  <si>
    <t>3,5% VL AÇÃO TGT</t>
  </si>
  <si>
    <t>3,5% VL OP TGT</t>
  </si>
  <si>
    <t>3,5% % AÇÃO</t>
  </si>
  <si>
    <t>VL OP TGT</t>
  </si>
  <si>
    <t>ATIVO</t>
  </si>
  <si>
    <t>PETRC24</t>
  </si>
  <si>
    <t>OGXPC17</t>
  </si>
  <si>
    <t>ITUBC39</t>
  </si>
  <si>
    <t>RETIRADAS</t>
  </si>
  <si>
    <t>LIQUIDAÇÃO</t>
  </si>
  <si>
    <t>EMOLUMENTOS</t>
  </si>
  <si>
    <t>NORMAL</t>
  </si>
  <si>
    <t>DAYTRADE</t>
  </si>
  <si>
    <t>REGISTRO</t>
  </si>
  <si>
    <t>CORRETAGEM</t>
  </si>
  <si>
    <t>[D/N]</t>
  </si>
  <si>
    <t>N</t>
  </si>
  <si>
    <t>EMOL</t>
  </si>
  <si>
    <t>TAXAS</t>
  </si>
  <si>
    <t>CP + TX</t>
  </si>
  <si>
    <t>TOT VENDA</t>
  </si>
  <si>
    <t>VD - TX</t>
  </si>
  <si>
    <t>APLICAÇÃO BASE</t>
  </si>
  <si>
    <t>IR</t>
  </si>
  <si>
    <t>LUCRO BRUTO</t>
  </si>
  <si>
    <t>LUCRO LÍQUIDO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</si>
</sst>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R$&quot;\ * #,##0.00_-;\-&quot;R$&quot;\ * #,##0.00_-;_-&quot;R$&quot;\ * &quot;-&quot;??_-;_-@_-"/>
    <numFmt numFmtId="164" formatCode="0.0%"/>
    <numFmt numFmtId="166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44" fontId="2" fillId="0" borderId="0" xfId="0" applyNumberFormat="1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0" fontId="2" fillId="0" borderId="0" xfId="2" applyNumberFormat="1" applyFont="1"/>
    <xf numFmtId="44" fontId="2" fillId="0" borderId="0" xfId="1" applyFont="1"/>
    <xf numFmtId="44" fontId="2" fillId="0" borderId="0" xfId="2" applyNumberFormat="1" applyFont="1"/>
    <xf numFmtId="164" fontId="2" fillId="0" borderId="0" xfId="2" applyNumberFormat="1" applyFont="1"/>
    <xf numFmtId="166" fontId="2" fillId="0" borderId="0" xfId="2" applyNumberFormat="1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tabSelected="1" workbookViewId="0">
      <pane xSplit="7" ySplit="1" topLeftCell="H2" activePane="bottomRight" state="frozen"/>
      <selection pane="topRight" activeCell="G1" sqref="G1"/>
      <selection pane="bottomLeft" activeCell="A2" sqref="A2"/>
      <selection pane="bottomRight" activeCell="D6" sqref="D6"/>
    </sheetView>
  </sheetViews>
  <sheetFormatPr defaultRowHeight="11.25" x14ac:dyDescent="0.2"/>
  <cols>
    <col min="1" max="1" width="7.28515625" style="1" bestFit="1" customWidth="1"/>
    <col min="2" max="2" width="14.7109375" style="1" bestFit="1" customWidth="1"/>
    <col min="3" max="3" width="7.7109375" style="1" bestFit="1" customWidth="1"/>
    <col min="4" max="4" width="8" style="1" bestFit="1" customWidth="1"/>
    <col min="5" max="5" width="7.7109375" style="1" bestFit="1" customWidth="1"/>
    <col min="6" max="6" width="4.85546875" style="1" bestFit="1" customWidth="1"/>
    <col min="7" max="7" width="7.5703125" style="1" hidden="1" customWidth="1"/>
    <col min="8" max="8" width="8.7109375" style="1" bestFit="1" customWidth="1"/>
    <col min="9" max="9" width="12.28515625" style="1" hidden="1" customWidth="1"/>
    <col min="10" max="10" width="8.85546875" style="1" hidden="1" customWidth="1"/>
    <col min="11" max="13" width="9.5703125" style="1" hidden="1" customWidth="1"/>
    <col min="14" max="14" width="12.85546875" style="1" bestFit="1" customWidth="1"/>
    <col min="15" max="15" width="11.5703125" style="1" hidden="1" customWidth="1"/>
    <col min="16" max="16" width="13.7109375" style="1" hidden="1" customWidth="1"/>
    <col min="17" max="17" width="10.28515625" style="1" hidden="1" customWidth="1"/>
    <col min="18" max="18" width="11.140625" style="1" hidden="1" customWidth="1"/>
    <col min="19" max="19" width="13.28515625" style="1" hidden="1" customWidth="1"/>
    <col min="20" max="20" width="11.140625" style="1" hidden="1" customWidth="1"/>
    <col min="21" max="21" width="7.5703125" style="1" bestFit="1" customWidth="1"/>
    <col min="22" max="22" width="9.5703125" style="1" bestFit="1" customWidth="1"/>
    <col min="23" max="23" width="6.28515625" style="1" bestFit="1" customWidth="1"/>
    <col min="24" max="24" width="12.85546875" style="1" hidden="1" customWidth="1"/>
    <col min="25" max="25" width="6.85546875" style="1" hidden="1" customWidth="1"/>
    <col min="26" max="26" width="9.5703125" style="1" hidden="1" customWidth="1"/>
    <col min="27" max="27" width="7.28515625" style="1" hidden="1" customWidth="1"/>
    <col min="28" max="28" width="7.7109375" style="1" hidden="1" customWidth="1"/>
    <col min="29" max="29" width="12.85546875" style="1" bestFit="1" customWidth="1"/>
    <col min="30" max="30" width="11.5703125" style="1" bestFit="1" customWidth="1"/>
    <col min="31" max="31" width="10.7109375" style="1" bestFit="1" customWidth="1"/>
    <col min="32" max="32" width="11.42578125" style="1" bestFit="1" customWidth="1"/>
    <col min="33" max="33" width="6.85546875" style="1" bestFit="1" customWidth="1"/>
    <col min="34" max="34" width="10.7109375" style="1" bestFit="1" customWidth="1"/>
    <col min="35" max="35" width="12.85546875" style="1" bestFit="1" customWidth="1"/>
    <col min="36" max="16384" width="9.140625" style="1"/>
  </cols>
  <sheetData>
    <row r="1" spans="1:35" s="3" customFormat="1" x14ac:dyDescent="0.2">
      <c r="A1" s="3" t="s">
        <v>18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29</v>
      </c>
      <c r="G1" s="4" t="s">
        <v>5</v>
      </c>
      <c r="H1" s="3" t="s">
        <v>4</v>
      </c>
      <c r="I1" s="3" t="s">
        <v>36</v>
      </c>
      <c r="J1" s="3" t="s">
        <v>31</v>
      </c>
      <c r="K1" s="3" t="s">
        <v>23</v>
      </c>
      <c r="L1" s="3" t="s">
        <v>27</v>
      </c>
      <c r="M1" s="3" t="s">
        <v>32</v>
      </c>
      <c r="N1" s="3" t="s">
        <v>33</v>
      </c>
      <c r="O1" s="3" t="s">
        <v>11</v>
      </c>
      <c r="P1" s="3" t="s">
        <v>12</v>
      </c>
      <c r="Q1" s="3" t="s">
        <v>13</v>
      </c>
      <c r="R1" s="3" t="s">
        <v>15</v>
      </c>
      <c r="S1" s="3" t="s">
        <v>14</v>
      </c>
      <c r="T1" s="3" t="s">
        <v>16</v>
      </c>
      <c r="U1" s="3" t="s">
        <v>17</v>
      </c>
      <c r="V1" s="3" t="s">
        <v>6</v>
      </c>
      <c r="W1" s="3" t="s">
        <v>7</v>
      </c>
      <c r="X1" s="3" t="s">
        <v>34</v>
      </c>
      <c r="Y1" s="3" t="s">
        <v>31</v>
      </c>
      <c r="Z1" s="3" t="s">
        <v>23</v>
      </c>
      <c r="AA1" s="3" t="s">
        <v>27</v>
      </c>
      <c r="AB1" s="3" t="s">
        <v>32</v>
      </c>
      <c r="AC1" s="3" t="s">
        <v>35</v>
      </c>
      <c r="AD1" s="3" t="s">
        <v>38</v>
      </c>
      <c r="AE1" s="3" t="s">
        <v>37</v>
      </c>
      <c r="AF1" s="3" t="s">
        <v>39</v>
      </c>
      <c r="AG1" s="3" t="s">
        <v>10</v>
      </c>
      <c r="AH1" s="3" t="s">
        <v>9</v>
      </c>
      <c r="AI1" s="3" t="s">
        <v>8</v>
      </c>
    </row>
    <row r="2" spans="1:35" x14ac:dyDescent="0.2">
      <c r="A2" s="1" t="s">
        <v>19</v>
      </c>
      <c r="B2" s="2">
        <v>130</v>
      </c>
      <c r="C2" s="2">
        <v>23.71</v>
      </c>
      <c r="D2" s="2">
        <v>23.83</v>
      </c>
      <c r="E2" s="2">
        <v>0.37</v>
      </c>
      <c r="F2" s="2" t="s">
        <v>30</v>
      </c>
      <c r="G2" s="1">
        <f>ROUNDDOWN(B2/E2,0)</f>
        <v>351</v>
      </c>
      <c r="H2" s="1">
        <f t="shared" ref="H2:H4" si="0">G2-MOD(G2,100)</f>
        <v>300</v>
      </c>
      <c r="I2" s="2">
        <f>H2*E2</f>
        <v>111</v>
      </c>
      <c r="J2" s="6">
        <f>TRUNC($I2*IF($F2="N",Plan2!$B$3,Plan2!$E$3),2)</f>
        <v>0.04</v>
      </c>
      <c r="K2" s="6">
        <f>TRUNC($I2*IF($F2="N",Plan2!$C$3,Plan2!$F$3),2)</f>
        <v>0.03</v>
      </c>
      <c r="L2" s="6">
        <f>TRUNC($I2*IF($F2="N",Plan2!$D$3,Plan2!$G$3),2)</f>
        <v>7.0000000000000007E-2</v>
      </c>
      <c r="M2" s="6">
        <f>Plan2!$H$3+SUM(J2:L2)</f>
        <v>15.040000000000001</v>
      </c>
      <c r="N2" s="6">
        <f>M2+I2</f>
        <v>126.04</v>
      </c>
      <c r="O2" s="2">
        <f>E2*2</f>
        <v>0.74</v>
      </c>
      <c r="P2" s="2">
        <f>O2+D2</f>
        <v>24.569999999999997</v>
      </c>
      <c r="Q2" s="5">
        <f>P2/C2-1</f>
        <v>3.6271615352171827E-2</v>
      </c>
      <c r="R2" s="7">
        <f>S2-D2</f>
        <v>0.70984999999999943</v>
      </c>
      <c r="S2" s="7">
        <f>1.035*C2</f>
        <v>24.539849999999998</v>
      </c>
      <c r="T2" s="8">
        <f>S2/C2-1</f>
        <v>3.499999999999992E-2</v>
      </c>
      <c r="U2" s="6">
        <f>IF($T2&lt;$Q2,R2,O2)</f>
        <v>0.70984999999999943</v>
      </c>
      <c r="V2" s="6">
        <f>IF($T2&lt;$Q2,S2,P2)</f>
        <v>24.539849999999998</v>
      </c>
      <c r="W2" s="5">
        <f>IF($T2&lt;$Q2,T2,Q2)</f>
        <v>3.499999999999992E-2</v>
      </c>
      <c r="X2" s="6">
        <f>U2*H2</f>
        <v>212.95499999999981</v>
      </c>
      <c r="Y2" s="6">
        <f>TRUNC($X2*IF($F2="N",Plan2!$B$3,Plan2!$E$3),2)</f>
        <v>7.0000000000000007E-2</v>
      </c>
      <c r="Z2" s="6">
        <f>TRUNC($I2*IF($F2="N",Plan2!$C$3,Plan2!$F$3),2)</f>
        <v>0.03</v>
      </c>
      <c r="AA2" s="6">
        <f>TRUNC($I2*IF($F2="N",Plan2!$D$3,Plan2!$G$3),2)</f>
        <v>7.0000000000000007E-2</v>
      </c>
      <c r="AB2" s="6">
        <f>Plan2!$H$3+SUM(Y2:AA2)</f>
        <v>15.07</v>
      </c>
      <c r="AC2" s="6">
        <f>X2-AB2</f>
        <v>197.88499999999982</v>
      </c>
      <c r="AD2" s="6">
        <f>AC2-N2</f>
        <v>71.844999999999814</v>
      </c>
      <c r="AE2" s="6">
        <f>AD2*0.15</f>
        <v>10.776749999999971</v>
      </c>
      <c r="AF2" s="6">
        <f>AD2-AE2</f>
        <v>61.068249999999843</v>
      </c>
      <c r="AG2" s="5">
        <f>AF2/N2</f>
        <v>0.48451483655982103</v>
      </c>
      <c r="AH2" s="6">
        <f>IF(MOD(COUNT($B$2:$B2),Plan2!$A$3)=0,AF2/2,0)</f>
        <v>30.534124999999921</v>
      </c>
      <c r="AI2" s="2">
        <f>N2+AF2-AH2</f>
        <v>156.57412499999992</v>
      </c>
    </row>
    <row r="3" spans="1:35" x14ac:dyDescent="0.2">
      <c r="A3" s="1" t="s">
        <v>20</v>
      </c>
      <c r="B3" s="2">
        <v>130</v>
      </c>
      <c r="C3" s="2">
        <v>16.84</v>
      </c>
      <c r="D3" s="2">
        <v>17</v>
      </c>
      <c r="E3" s="2">
        <v>0.24</v>
      </c>
      <c r="F3" s="2" t="s">
        <v>30</v>
      </c>
      <c r="G3" s="1">
        <f>ROUNDDOWN(B3/E3,0)</f>
        <v>541</v>
      </c>
      <c r="H3" s="1">
        <f t="shared" si="0"/>
        <v>500</v>
      </c>
      <c r="I3" s="2">
        <f>H3*E3</f>
        <v>120</v>
      </c>
      <c r="J3" s="6">
        <f>TRUNC($I3*IF($F3="N",Plan2!$B$3,Plan2!$E$3),2)</f>
        <v>0.04</v>
      </c>
      <c r="K3" s="6">
        <f>TRUNC($I3*IF($F3="N",Plan2!$C$3,Plan2!$F$3),2)</f>
        <v>0.03</v>
      </c>
      <c r="L3" s="6">
        <f>TRUNC($I3*IF($F3="N",Plan2!$D$3,Plan2!$G$3),2)</f>
        <v>0.08</v>
      </c>
      <c r="M3" s="6">
        <f>Plan2!$H$3+SUM(J3:L3)</f>
        <v>15.05</v>
      </c>
      <c r="N3" s="6">
        <f t="shared" ref="N3:N4" si="1">M3+I3</f>
        <v>135.05000000000001</v>
      </c>
      <c r="O3" s="2">
        <f>E3*2</f>
        <v>0.48</v>
      </c>
      <c r="P3" s="2">
        <f>O3+D3</f>
        <v>17.48</v>
      </c>
      <c r="Q3" s="5">
        <f>P3/C3-1</f>
        <v>3.8004750593824355E-2</v>
      </c>
      <c r="R3" s="7">
        <f>S3-D3</f>
        <v>0.42939999999999756</v>
      </c>
      <c r="S3" s="7">
        <f>1.035*C3</f>
        <v>17.429399999999998</v>
      </c>
      <c r="T3" s="8">
        <f>S3/C3-1</f>
        <v>3.499999999999992E-2</v>
      </c>
      <c r="U3" s="6">
        <f>IF($T3&lt;$Q3,R3,O3)</f>
        <v>0.42939999999999756</v>
      </c>
      <c r="V3" s="6">
        <f>IF($T3&lt;$Q3,S3,P3)</f>
        <v>17.429399999999998</v>
      </c>
      <c r="W3" s="5">
        <f>IF($T3&lt;$Q3,T3,Q3)</f>
        <v>3.499999999999992E-2</v>
      </c>
      <c r="X3" s="6">
        <f>U3*H3</f>
        <v>214.69999999999879</v>
      </c>
      <c r="Y3" s="6">
        <f>TRUNC($X3*IF($F3="N",Plan2!$B$3,Plan2!$E$3),2)</f>
        <v>7.0000000000000007E-2</v>
      </c>
      <c r="Z3" s="6">
        <f>TRUNC($I3*IF($F3="N",Plan2!$C$3,Plan2!$F$3),2)</f>
        <v>0.03</v>
      </c>
      <c r="AA3" s="6">
        <f>TRUNC($I3*IF($F3="N",Plan2!$D$3,Plan2!$G$3),2)</f>
        <v>0.08</v>
      </c>
      <c r="AB3" s="6">
        <f>Plan2!$H$3+SUM(Y3:AA3)</f>
        <v>15.08</v>
      </c>
      <c r="AC3" s="6">
        <f t="shared" ref="AC3:AC4" si="2">X3-AB3</f>
        <v>199.61999999999878</v>
      </c>
      <c r="AD3" s="6">
        <f t="shared" ref="AD3:AD4" si="3">AC3-N3</f>
        <v>64.569999999998771</v>
      </c>
      <c r="AE3" s="6">
        <f t="shared" ref="AE3:AE4" si="4">AD3*0.15</f>
        <v>9.6854999999998146</v>
      </c>
      <c r="AF3" s="6">
        <f t="shared" ref="AF3:AF4" si="5">AD3-AE3</f>
        <v>54.884499999998958</v>
      </c>
      <c r="AG3" s="5">
        <f t="shared" ref="AG3:AG4" si="6">AF3/N3</f>
        <v>0.40640133283968127</v>
      </c>
      <c r="AH3" s="6">
        <f>IF(MOD(COUNT($B$2:$B3),Plan2!$A$3)=0,AF3/2,0)</f>
        <v>27.442249999999479</v>
      </c>
      <c r="AI3" s="2">
        <f t="shared" ref="AI3:AI4" si="7">N3+AF3-AH3</f>
        <v>162.49224999999947</v>
      </c>
    </row>
    <row r="4" spans="1:35" x14ac:dyDescent="0.2">
      <c r="A4" s="1" t="s">
        <v>21</v>
      </c>
      <c r="B4" s="2">
        <v>130</v>
      </c>
      <c r="C4" s="2">
        <v>38.42</v>
      </c>
      <c r="D4" s="2">
        <v>38.619999999999997</v>
      </c>
      <c r="E4" s="2">
        <v>0.43</v>
      </c>
      <c r="F4" s="2" t="s">
        <v>30</v>
      </c>
      <c r="G4" s="1">
        <f>ROUNDDOWN(B4/E4,0)</f>
        <v>302</v>
      </c>
      <c r="H4" s="1">
        <f t="shared" si="0"/>
        <v>300</v>
      </c>
      <c r="I4" s="2">
        <f>H4*E4</f>
        <v>129</v>
      </c>
      <c r="J4" s="6">
        <f>TRUNC($I4*IF($F4="N",Plan2!$B$3,Plan2!$E$3),2)</f>
        <v>0.04</v>
      </c>
      <c r="K4" s="6">
        <f>TRUNC($I4*IF($F4="N",Plan2!$C$3,Plan2!$F$3),2)</f>
        <v>0.03</v>
      </c>
      <c r="L4" s="6">
        <f>TRUNC($I4*IF($F4="N",Plan2!$D$3,Plan2!$G$3),2)</f>
        <v>0.08</v>
      </c>
      <c r="M4" s="6">
        <f>Plan2!$H$3+SUM(J4:L4)</f>
        <v>15.05</v>
      </c>
      <c r="N4" s="6">
        <f t="shared" si="1"/>
        <v>144.05000000000001</v>
      </c>
      <c r="O4" s="2">
        <f>E4*2</f>
        <v>0.86</v>
      </c>
      <c r="P4" s="2">
        <f>O4+D4</f>
        <v>39.479999999999997</v>
      </c>
      <c r="Q4" s="5">
        <f>P4/C4-1</f>
        <v>2.7589796980739045E-2</v>
      </c>
      <c r="R4" s="7">
        <f>S4-D4</f>
        <v>1.1447000000000003</v>
      </c>
      <c r="S4" s="7">
        <f>1.035*C4</f>
        <v>39.764699999999998</v>
      </c>
      <c r="T4" s="8">
        <f>S4/C4-1</f>
        <v>3.499999999999992E-2</v>
      </c>
      <c r="U4" s="6">
        <f>IF($T4&lt;$Q4,R4,O4)</f>
        <v>0.86</v>
      </c>
      <c r="V4" s="6">
        <f>IF($T4&lt;$Q4,S4,P4)</f>
        <v>39.479999999999997</v>
      </c>
      <c r="W4" s="5">
        <f>IF($T4&lt;$Q4,T4,Q4)</f>
        <v>2.7589796980739045E-2</v>
      </c>
      <c r="X4" s="6">
        <f>U4*H4</f>
        <v>258</v>
      </c>
      <c r="Y4" s="6">
        <f>TRUNC($X4*IF($F4="N",Plan2!$B$3,Plan2!$E$3),2)</f>
        <v>0.09</v>
      </c>
      <c r="Z4" s="6">
        <f>TRUNC($I4*IF($F4="N",Plan2!$C$3,Plan2!$F$3),2)</f>
        <v>0.03</v>
      </c>
      <c r="AA4" s="6">
        <f>TRUNC($I4*IF($F4="N",Plan2!$D$3,Plan2!$G$3),2)</f>
        <v>0.08</v>
      </c>
      <c r="AB4" s="6">
        <f>Plan2!$H$3+SUM(Y4:AA4)</f>
        <v>15.1</v>
      </c>
      <c r="AC4" s="6">
        <f t="shared" si="2"/>
        <v>242.9</v>
      </c>
      <c r="AD4" s="6">
        <f t="shared" si="3"/>
        <v>98.85</v>
      </c>
      <c r="AE4" s="6">
        <f t="shared" si="4"/>
        <v>14.827499999999999</v>
      </c>
      <c r="AF4" s="6">
        <f t="shared" si="5"/>
        <v>84.022499999999994</v>
      </c>
      <c r="AG4" s="5">
        <f t="shared" si="6"/>
        <v>0.58328705310656015</v>
      </c>
      <c r="AH4" s="6">
        <f>IF(MOD(COUNT($B$2:$B4),Plan2!$A$3)=0,AF4/2,0)</f>
        <v>42.011249999999997</v>
      </c>
      <c r="AI4" s="2">
        <f t="shared" si="7"/>
        <v>186.06125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3" sqref="E3"/>
    </sheetView>
  </sheetViews>
  <sheetFormatPr defaultRowHeight="11.25" x14ac:dyDescent="0.2"/>
  <cols>
    <col min="1" max="1" width="8.28515625" style="1" bestFit="1" customWidth="1"/>
    <col min="2" max="2" width="11.42578125" style="1" bestFit="1" customWidth="1"/>
    <col min="3" max="3" width="9.5703125" style="1" bestFit="1" customWidth="1"/>
    <col min="4" max="4" width="7.28515625" style="1" bestFit="1" customWidth="1"/>
    <col min="5" max="5" width="11.42578125" style="1" bestFit="1" customWidth="1"/>
    <col min="6" max="6" width="9.5703125" style="1" bestFit="1" customWidth="1"/>
    <col min="7" max="7" width="7.28515625" style="1" bestFit="1" customWidth="1"/>
    <col min="8" max="8" width="10.140625" style="1" bestFit="1" customWidth="1"/>
    <col min="9" max="16384" width="9.140625" style="1"/>
  </cols>
  <sheetData>
    <row r="1" spans="1:8" x14ac:dyDescent="0.2">
      <c r="A1" s="10" t="s">
        <v>22</v>
      </c>
      <c r="B1" s="11" t="s">
        <v>25</v>
      </c>
      <c r="C1" s="11"/>
      <c r="D1" s="11"/>
      <c r="E1" s="11" t="s">
        <v>26</v>
      </c>
      <c r="F1" s="11"/>
      <c r="G1" s="11"/>
      <c r="H1" s="10" t="s">
        <v>28</v>
      </c>
    </row>
    <row r="2" spans="1:8" x14ac:dyDescent="0.2">
      <c r="A2" s="10"/>
      <c r="B2" s="12" t="s">
        <v>24</v>
      </c>
      <c r="C2" s="12" t="s">
        <v>23</v>
      </c>
      <c r="D2" s="12" t="s">
        <v>27</v>
      </c>
      <c r="E2" s="12" t="s">
        <v>24</v>
      </c>
      <c r="F2" s="12" t="s">
        <v>23</v>
      </c>
      <c r="G2" s="12" t="s">
        <v>27</v>
      </c>
      <c r="H2" s="10"/>
    </row>
    <row r="3" spans="1:8" x14ac:dyDescent="0.2">
      <c r="A3" s="1">
        <v>1</v>
      </c>
      <c r="B3" s="9">
        <v>3.6999999999999999E-4</v>
      </c>
      <c r="C3" s="9">
        <v>2.7500000000000002E-4</v>
      </c>
      <c r="D3" s="9">
        <v>6.9499999999999998E-4</v>
      </c>
      <c r="E3" s="9">
        <v>1.2E-4</v>
      </c>
      <c r="F3" s="9">
        <v>1.8000000000000001E-4</v>
      </c>
      <c r="G3" s="9">
        <v>1.4999999999999999E-4</v>
      </c>
      <c r="H3" s="6">
        <v>14.9</v>
      </c>
    </row>
  </sheetData>
  <mergeCells count="4">
    <mergeCell ref="A1:A2"/>
    <mergeCell ref="B1:D1"/>
    <mergeCell ref="E1:G1"/>
    <mergeCell ref="H1:H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2012-03-10T17:12:39Z</dcterms:created>
  <dcterms:modified xsi:type="dcterms:W3CDTF">2012-03-12T01:28:27Z</dcterms:modified>
</cp:coreProperties>
</file>