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2030" windowHeight="5655" tabRatio="211" firstSheet="1" activeTab="2"/>
  </bookViews>
  <sheets>
    <sheet name="Planilha1" sheetId="1" r:id="rId1"/>
    <sheet name="PATRIMONIO" sheetId="2" r:id="rId2"/>
    <sheet name="RF" sheetId="3" r:id="rId3"/>
  </sheets>
  <calcPr calcId="124519"/>
</workbook>
</file>

<file path=xl/calcChain.xml><?xml version="1.0" encoding="utf-8"?>
<calcChain xmlns="http://schemas.openxmlformats.org/spreadsheetml/2006/main">
  <c r="E12" i="2"/>
  <c r="F12"/>
  <c r="G12"/>
  <c r="H12"/>
  <c r="I12"/>
  <c r="E2" l="1"/>
  <c r="F2" s="1"/>
  <c r="G2" s="1"/>
  <c r="E3"/>
  <c r="F3" s="1"/>
  <c r="G3" s="1"/>
  <c r="E4"/>
  <c r="F4" s="1"/>
  <c r="G4" s="1"/>
  <c r="E5"/>
  <c r="F5" s="1"/>
  <c r="G5" s="1"/>
  <c r="E6"/>
  <c r="F6" s="1"/>
  <c r="G6" s="1"/>
  <c r="E7"/>
  <c r="F7" s="1"/>
  <c r="G7" s="1"/>
  <c r="E8"/>
  <c r="F8" s="1"/>
  <c r="G8" s="1"/>
  <c r="E9"/>
  <c r="F9" s="1"/>
  <c r="G9" s="1"/>
  <c r="E10"/>
  <c r="F10" s="1"/>
  <c r="G10" s="1"/>
  <c r="E11"/>
  <c r="F11" s="1"/>
  <c r="G11" s="1"/>
  <c r="D6" i="3" l="1"/>
  <c r="B6"/>
  <c r="A6"/>
  <c r="D5"/>
  <c r="E5" s="1"/>
  <c r="F5" s="1"/>
  <c r="D4"/>
  <c r="E4" s="1"/>
  <c r="F4" s="1"/>
  <c r="D3"/>
  <c r="E3" s="1"/>
  <c r="F3" s="1"/>
  <c r="D2"/>
  <c r="E2" s="1"/>
  <c r="F2" s="1"/>
  <c r="H11" i="2"/>
  <c r="I11"/>
  <c r="A13" l="1"/>
  <c r="H5" i="3" l="1"/>
  <c r="G5"/>
  <c r="H4"/>
  <c r="G4"/>
  <c r="H3"/>
  <c r="G3"/>
  <c r="H2"/>
  <c r="H6" s="1"/>
  <c r="G2"/>
  <c r="G6" s="1"/>
  <c r="B13" i="2"/>
  <c r="D13"/>
  <c r="E13" s="1"/>
  <c r="G13" s="1"/>
  <c r="O4" i="1"/>
  <c r="H10" i="2" l="1"/>
  <c r="I10"/>
  <c r="P2" i="1"/>
  <c r="P3"/>
  <c r="H9" i="2" l="1"/>
  <c r="I9"/>
  <c r="H8"/>
  <c r="I8"/>
  <c r="H7"/>
  <c r="I7"/>
  <c r="H6"/>
  <c r="I6"/>
  <c r="H5"/>
  <c r="I5"/>
  <c r="H4"/>
  <c r="I4"/>
  <c r="H2"/>
  <c r="I2"/>
  <c r="H3"/>
  <c r="I3"/>
  <c r="Q3" i="1"/>
  <c r="S3" s="1"/>
  <c r="T3" s="1"/>
  <c r="Q2"/>
  <c r="S2" s="1"/>
  <c r="T2" s="1"/>
  <c r="R3"/>
  <c r="R2" l="1"/>
</calcChain>
</file>

<file path=xl/comments1.xml><?xml version="1.0" encoding="utf-8"?>
<comments xmlns="http://schemas.openxmlformats.org/spreadsheetml/2006/main">
  <authors>
    <author>Engelbert</author>
  </authors>
  <commentList>
    <comment ref="E13" authorId="0">
      <text>
        <r>
          <rPr>
            <b/>
            <sz val="8"/>
            <color indexed="81"/>
            <rFont val="Tahoma"/>
            <family val="2"/>
          </rPr>
          <t>RENDIMENTO TOTAL</t>
        </r>
      </text>
    </comment>
  </commentList>
</comments>
</file>

<file path=xl/sharedStrings.xml><?xml version="1.0" encoding="utf-8"?>
<sst xmlns="http://schemas.openxmlformats.org/spreadsheetml/2006/main" count="38" uniqueCount="31">
  <si>
    <t>ANO</t>
  </si>
  <si>
    <t>ANO BASE</t>
  </si>
  <si>
    <t>MONTANTE</t>
  </si>
  <si>
    <t>% a.a</t>
  </si>
  <si>
    <t>MESES</t>
  </si>
  <si>
    <t>% a.m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</si>
  <si>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</si>
  <si>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</si>
  <si>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</si>
  <si>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</si>
  <si>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</si>
  <si>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</si>
  <si>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</si>
  <si>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</si>
  <si>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</si>
  <si>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</si>
  <si>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</si>
  <si>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</si>
  <si>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LUCRO</t>
  </si>
  <si>
    <t>Total</t>
  </si>
  <si>
    <t>TOTAL</t>
  </si>
  <si>
    <t>DATA</t>
  </si>
  <si>
    <t>APLICAÇÃO</t>
  </si>
  <si>
    <t>RENT. % a.m.</t>
  </si>
  <si>
    <t>MONTANTE - LUCRO</t>
  </si>
  <si>
    <t>META MIN</t>
  </si>
  <si>
    <t>META MAX</t>
  </si>
  <si>
    <t>RESGATE</t>
  </si>
  <si>
    <t>PATRIMÔNIO</t>
  </si>
  <si>
    <t>PATRIMONIO - LUCRO</t>
  </si>
  <si>
    <t>PATRIMONIO</t>
  </si>
</sst>
</file>

<file path=xl/styles.xml><?xml version="1.0" encoding="utf-8"?>
<styleSheet xmlns="http://schemas.openxmlformats.org/spreadsheetml/2006/main">
  <numFmts count="4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0%"/>
    <numFmt numFmtId="167" formatCode="[$-416]mmmm\-yy;@"/>
  </numFmts>
  <fonts count="8"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scheme val="minor"/>
    </font>
    <font>
      <b/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1" applyFont="1"/>
    <xf numFmtId="10" fontId="2" fillId="0" borderId="0" xfId="2" applyNumberFormat="1" applyFont="1"/>
    <xf numFmtId="10" fontId="1" fillId="0" borderId="0" xfId="2" applyNumberFormat="1" applyFont="1" applyAlignment="1">
      <alignment horizontal="left" vertical="center"/>
    </xf>
    <xf numFmtId="164" fontId="2" fillId="0" borderId="0" xfId="1" applyNumberFormat="1" applyFont="1"/>
    <xf numFmtId="164" fontId="2" fillId="0" borderId="0" xfId="0" applyNumberFormat="1" applyFont="1"/>
    <xf numFmtId="166" fontId="2" fillId="0" borderId="0" xfId="2" applyNumberFormat="1" applyFont="1"/>
    <xf numFmtId="166" fontId="2" fillId="0" borderId="0" xfId="0" applyNumberFormat="1" applyFont="1"/>
    <xf numFmtId="164" fontId="2" fillId="0" borderId="0" xfId="2" applyNumberFormat="1" applyFont="1"/>
    <xf numFmtId="167" fontId="2" fillId="0" borderId="0" xfId="0" applyNumberFormat="1" applyFont="1"/>
    <xf numFmtId="164" fontId="5" fillId="0" borderId="0" xfId="1" applyFont="1"/>
    <xf numFmtId="164" fontId="5" fillId="0" borderId="0" xfId="2" applyNumberFormat="1" applyFont="1"/>
    <xf numFmtId="10" fontId="5" fillId="0" borderId="0" xfId="2" applyNumberFormat="1" applyFont="1"/>
    <xf numFmtId="164" fontId="6" fillId="0" borderId="0" xfId="1" applyFont="1"/>
    <xf numFmtId="164" fontId="6" fillId="0" borderId="0" xfId="1" applyNumberFormat="1" applyFont="1"/>
    <xf numFmtId="10" fontId="6" fillId="0" borderId="0" xfId="2" applyNumberFormat="1" applyFont="1"/>
    <xf numFmtId="164" fontId="1" fillId="0" borderId="0" xfId="1" applyFont="1"/>
    <xf numFmtId="164" fontId="1" fillId="0" borderId="0" xfId="1" applyNumberFormat="1" applyFont="1"/>
    <xf numFmtId="164" fontId="1" fillId="0" borderId="0" xfId="2" applyNumberFormat="1" applyFont="1"/>
    <xf numFmtId="0" fontId="1" fillId="0" borderId="0" xfId="0" applyFont="1"/>
    <xf numFmtId="164" fontId="1" fillId="0" borderId="0" xfId="0" applyNumberFormat="1" applyFont="1"/>
    <xf numFmtId="0" fontId="6" fillId="0" borderId="0" xfId="0" applyFont="1"/>
    <xf numFmtId="164" fontId="6" fillId="0" borderId="0" xfId="0" applyNumberFormat="1" applyFont="1"/>
    <xf numFmtId="10" fontId="6" fillId="0" borderId="0" xfId="0" applyNumberFormat="1" applyFont="1"/>
    <xf numFmtId="164" fontId="7" fillId="0" borderId="0" xfId="1" applyNumberFormat="1" applyFont="1"/>
    <xf numFmtId="10" fontId="7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T4" totalsRowCount="1" headerRowDxfId="77" dataDxfId="76">
  <autoFilter ref="A1:T3"/>
  <tableColumns count="20">
    <tableColumn id="1" name="ANO" totalsRowLabel="Total" dataDxfId="75" totalsRowDxfId="74"/>
    <tableColumn id="18" name="MESES" dataDxfId="73" totalsRowDxfId="72"/>
    <tableColumn id="2" name="JAN" dataDxfId="71" totalsRowDxfId="70"/>
    <tableColumn id="3" name="FEV" dataDxfId="69" totalsRowDxfId="68"/>
    <tableColumn id="4" name="MAR" dataDxfId="67" totalsRowDxfId="66"/>
    <tableColumn id="5" name="ABR" dataDxfId="65" totalsRowDxfId="64"/>
    <tableColumn id="6" name="MAI" dataDxfId="63" totalsRowDxfId="62"/>
    <tableColumn id="7" name="JUN" dataDxfId="61" totalsRowDxfId="60"/>
    <tableColumn id="8" name="JUL" dataDxfId="59" totalsRowDxfId="58"/>
    <tableColumn id="9" name="AGO" dataDxfId="57" totalsRowDxfId="56"/>
    <tableColumn id="10" name="SET" dataDxfId="55" totalsRowDxfId="54"/>
    <tableColumn id="11" name="OUT" dataDxfId="53" totalsRowDxfId="52"/>
    <tableColumn id="12" name="NOV" dataDxfId="51" totalsRowDxfId="50"/>
    <tableColumn id="13" name="DEZ" dataDxfId="49" totalsRowDxfId="48"/>
    <tableColumn id="15" name="LUCRO" totalsRowFunction="sum" dataDxfId="47" totalsRowDxfId="46"/>
    <tableColumn id="21" name="TOTAL" dataDxfId="45" totalsRowDxfId="44">
      <calculatedColumnFormula>SUM(Tabela2[[#This Row],[JAN]]:Tabela2[[#This Row],[DEZ]])</calculatedColumnFormula>
    </tableColumn>
    <tableColumn id="14" name="ANO BASE" dataDxfId="43" totalsRowDxfId="42">
      <calculatedColumnFormula>SUMPRODUCT(N([ANO]&lt;=Tabela2[[#This Row],[ANO]]),[TOTAL])+SUMPRODUCT(N([ANO]=Tabela2[[#This Row],[ANO]]-1),[LUCRO])</calculatedColumnFormula>
    </tableColumn>
    <tableColumn id="16" name="MONTANTE" dataDxfId="41" totalsRowDxfId="40">
      <calculatedColumnFormula>[ANO BASE]+[LUCRO]</calculatedColumnFormula>
    </tableColumn>
    <tableColumn id="17" name="% a.a" dataDxfId="39" totalsRowDxfId="38">
      <calculatedColumnFormula>IF([ANO BASE]=0,0,[LUCRO]/[ANO BASE])</calculatedColumnFormula>
    </tableColumn>
    <tableColumn id="19" name="% a.m" dataDxfId="37" totalsRowDxfId="36">
      <calculatedColumnFormula>[% a.a]/[MESES]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I13" totalsRowCount="1" headerRowDxfId="35" dataDxfId="34">
  <autoFilter ref="A1:I12">
    <filterColumn colId="2"/>
    <filterColumn colId="5"/>
    <filterColumn colId="7"/>
    <filterColumn colId="8"/>
  </autoFilter>
  <tableColumns count="9">
    <tableColumn id="1" name="DATA" totalsRowFunction="count" dataDxfId="33" totalsRowDxfId="8"/>
    <tableColumn id="20" name="APLICAÇÃO" totalsRowFunction="sum" totalsRowDxfId="7" dataCellStyle="Moeda"/>
    <tableColumn id="5" name="RESGATE" dataDxfId="32" totalsRowDxfId="6" dataCellStyle="Moeda"/>
    <tableColumn id="22" name="LUCRO" totalsRowFunction="sum" dataDxfId="31" totalsRowDxfId="5" dataCellStyle="Moeda"/>
    <tableColumn id="25" name="PATRIMÔNIO" totalsRowFunction="custom" dataDxfId="30" totalsRowDxfId="4" dataCellStyle="Moeda">
      <calculatedColumnFormula>SUMPRODUCT(N([DATA]&lt;=Tabela22[[#This Row],[DATA]]),[APLICAÇÃO]) + SUMPRODUCT(N([DATA]&lt;=Tabela22[[#This Row],[DATA]]),[LUCRO]) + SUMPRODUCT(N([DATA]&lt;=Tabela22[[#This Row],[DATA]]),[RESGATE])</calculatedColumnFormula>
      <totalsRowFormula>Tabela22[[#Totals],[LUCRO]]/Tabela22[[#Totals],[APLICAÇÃO]]</totalsRowFormula>
    </tableColumn>
    <tableColumn id="2" name="PATRIMONIO - LUCRO" dataDxfId="29" totalsRowDxfId="3" dataCellStyle="Moeda">
      <calculatedColumnFormula>IF([LUCRO] &gt; 0, [PATRIMÔNIO] - [LUCRO] - [RESGATE], [PATRIMÔNIO] - [RESGATE])</calculatedColumnFormula>
    </tableColumn>
    <tableColumn id="24" name="RENT. % a.m." totalsRowFunction="custom" dataDxfId="28" totalsRowDxfId="2" dataCellStyle="Porcentagem">
      <calculatedColumnFormula>[LUCRO]/([PATRIMONIO - LUCRO])</calculatedColumnFormula>
      <totalsRowFormula>(1 + Tabela22[[#Totals],[PATRIMÔNIO]]) ^ (1/12) - 1</totalsRowFormula>
    </tableColumn>
    <tableColumn id="3" name="META MIN" dataDxfId="27" totalsRowDxfId="1" dataCellStyle="Moeda">
      <calculatedColumnFormula>[PATRIMONIO - LUCRO] * 3%</calculatedColumnFormula>
    </tableColumn>
    <tableColumn id="4" name="META MAX" dataDxfId="26" totalsRowDxfId="0" dataCellStyle="Moeda">
      <calculatedColumnFormula>[PATRIMONIO - LUCRO] * 20%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224" displayName="Tabela224" ref="A1:H6" totalsRowCount="1" headerRowDxfId="25" dataDxfId="24">
  <autoFilter ref="A1:H5"/>
  <tableColumns count="8">
    <tableColumn id="1" name="DATA" totalsRowFunction="count" dataDxfId="23" totalsRowDxfId="16"/>
    <tableColumn id="20" name="APLICAÇÃO" totalsRowFunction="sum" totalsRowDxfId="15" dataCellStyle="Moeda"/>
    <tableColumn id="22" name="LUCRO" dataDxfId="18" totalsRowDxfId="14" dataCellStyle="Moeda"/>
    <tableColumn id="25" name="PATRIMONIO" totalsRowFunction="custom" dataDxfId="17" totalsRowDxfId="13" dataCellStyle="Porcentagem">
      <calculatedColumnFormula>SUMPRODUCT(N([DATA]&lt;=Tabela224[[#This Row],[DATA]]),[APLICAÇÃO]) + SUMPRODUCT(N([DATA]&lt;=Tabela224[[#This Row],[DATA]]),[LUCRO])</calculatedColumnFormula>
      <totalsRowFormula>SUBTOTAL(109,[LUCRO])</totalsRowFormula>
    </tableColumn>
    <tableColumn id="2" name="MONTANTE - LUCRO" dataDxfId="22" totalsRowDxfId="12" dataCellStyle="Moeda">
      <calculatedColumnFormula>[PATRIMONIO] - [LUCRO] - SUMPRODUCT(N([DATA]&lt;=Tabela224[[#This Row],[DATA]]),[APLICAÇÃO] )</calculatedColumnFormula>
    </tableColumn>
    <tableColumn id="24" name="RENT. % a.m." dataDxfId="21" totalsRowDxfId="11" dataCellStyle="Porcentagem">
      <calculatedColumnFormula>IF([MONTANTE - LUCRO] &lt;= 0, 0, [LUCRO]/([MONTANTE - LUCRO]))</calculatedColumnFormula>
    </tableColumn>
    <tableColumn id="3" name="META MIN" totalsRowFunction="sum" dataDxfId="20" totalsRowDxfId="10" dataCellStyle="Moeda">
      <calculatedColumnFormula>[MONTANTE - LUCRO] * 3%</calculatedColumnFormula>
    </tableColumn>
    <tableColumn id="4" name="META MAX" totalsRowFunction="sum" dataDxfId="19" totalsRowDxfId="9" dataCellStyle="Moeda">
      <calculatedColumnFormula>[MONTANTE - LUCRO] * 20%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sqref="A1:XFD1048576"/>
    </sheetView>
  </sheetViews>
  <sheetFormatPr defaultColWidth="11.5703125" defaultRowHeight="11.25"/>
  <cols>
    <col min="1" max="1" width="6.28515625" style="2" bestFit="1" customWidth="1"/>
    <col min="2" max="2" width="7.5703125" style="2" bestFit="1" customWidth="1"/>
    <col min="3" max="4" width="7.7109375" style="2" bestFit="1" customWidth="1"/>
    <col min="5" max="5" width="6.5703125" style="2" bestFit="1" customWidth="1"/>
    <col min="6" max="6" width="6" style="2" bestFit="1" customWidth="1"/>
    <col min="7" max="7" width="7.7109375" style="2" bestFit="1" customWidth="1"/>
    <col min="8" max="9" width="6" style="2" bestFit="1" customWidth="1"/>
    <col min="10" max="10" width="6.28515625" style="2" bestFit="1" customWidth="1"/>
    <col min="11" max="11" width="6" style="2" bestFit="1" customWidth="1"/>
    <col min="12" max="14" width="9" style="2" bestFit="1" customWidth="1"/>
    <col min="15" max="15" width="9.85546875" style="2" bestFit="1" customWidth="1"/>
    <col min="16" max="16" width="9.42578125" style="2" hidden="1" customWidth="1"/>
    <col min="17" max="18" width="10.85546875" style="2" bestFit="1" customWidth="1"/>
    <col min="19" max="19" width="7.28515625" style="2" bestFit="1" customWidth="1"/>
    <col min="20" max="20" width="7.140625" style="2" bestFit="1" customWidth="1"/>
    <col min="21" max="16384" width="11.5703125" style="2"/>
  </cols>
  <sheetData>
    <row r="1" spans="1:20" s="6" customFormat="1">
      <c r="A1" s="5" t="s">
        <v>0</v>
      </c>
      <c r="B1" s="5" t="s">
        <v>4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5" t="s">
        <v>18</v>
      </c>
      <c r="P1" s="5" t="s">
        <v>20</v>
      </c>
      <c r="Q1" s="5" t="s">
        <v>1</v>
      </c>
      <c r="R1" s="5" t="s">
        <v>2</v>
      </c>
      <c r="S1" s="5" t="s">
        <v>3</v>
      </c>
      <c r="T1" s="5" t="s">
        <v>5</v>
      </c>
    </row>
    <row r="2" spans="1:20" s="1" customFormat="1">
      <c r="A2" s="2">
        <v>2011</v>
      </c>
      <c r="B2" s="2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2099.15</v>
      </c>
      <c r="M2" s="3">
        <v>2607.9899999999998</v>
      </c>
      <c r="N2" s="3">
        <v>1319.32</v>
      </c>
      <c r="O2" s="3">
        <v>317.7</v>
      </c>
      <c r="P2" s="3">
        <f>SUM(Tabela2[[#This Row],[JAN]]:Tabela2[[#This Row],[DEZ]])</f>
        <v>6026.4599999999991</v>
      </c>
      <c r="Q2" s="3">
        <f>SUMPRODUCT(N([ANO]&lt;=Tabela2[[#This Row],[ANO]]),[TOTAL])+SUMPRODUCT(N([ANO]=Tabela2[[#This Row],[ANO]]-1),[LUCRO])</f>
        <v>6026.4599999999991</v>
      </c>
      <c r="R2" s="3">
        <f>[ANO BASE]+[LUCRO]</f>
        <v>6344.1599999999989</v>
      </c>
      <c r="S2" s="4">
        <f>IF([ANO BASE]=0,0,[LUCRO]/[ANO BASE])</f>
        <v>5.2717515755518168E-2</v>
      </c>
      <c r="T2" s="4">
        <f>[% a.a]/[MESES]</f>
        <v>1.7572505251839388E-2</v>
      </c>
    </row>
    <row r="3" spans="1:20">
      <c r="A3" s="2">
        <v>2012</v>
      </c>
      <c r="B3" s="2">
        <v>5</v>
      </c>
      <c r="C3" s="3">
        <v>572.30999999999995</v>
      </c>
      <c r="D3" s="3">
        <v>167</v>
      </c>
      <c r="E3" s="3">
        <v>0</v>
      </c>
      <c r="F3" s="3">
        <v>0</v>
      </c>
      <c r="G3" s="3">
        <v>735.79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-3464.54</v>
      </c>
      <c r="P3" s="3">
        <f>SUM(Tabela2[[#This Row],[JAN]]:Tabela2[[#This Row],[DEZ]])</f>
        <v>1475.1</v>
      </c>
      <c r="Q3" s="3">
        <f>SUMPRODUCT(N([ANO]&lt;=Tabela2[[#This Row],[ANO]]),[TOTAL])+SUMPRODUCT(N([ANO]=Tabela2[[#This Row],[ANO]]-1),[LUCRO])</f>
        <v>7819.2599999999993</v>
      </c>
      <c r="R3" s="3">
        <f>[ANO BASE]+[LUCRO]</f>
        <v>4354.7199999999993</v>
      </c>
      <c r="S3" s="4">
        <f>IF([ANO BASE]=0,0,[LUCRO]/[ANO BASE])</f>
        <v>-0.44307773369858533</v>
      </c>
      <c r="T3" s="4">
        <f>[% a.a]/[MESES]</f>
        <v>-8.8615546739717069E-2</v>
      </c>
    </row>
    <row r="4" spans="1:20">
      <c r="A4" s="2" t="s">
        <v>19</v>
      </c>
      <c r="O4" s="3">
        <f>SUBTOTAL(109,[LUCRO])</f>
        <v>-3146.84</v>
      </c>
      <c r="P4" s="3"/>
      <c r="T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21" sqref="F21"/>
    </sheetView>
  </sheetViews>
  <sheetFormatPr defaultColWidth="11.5703125" defaultRowHeight="11.25"/>
  <cols>
    <col min="1" max="1" width="10" style="2" bestFit="1" customWidth="1"/>
    <col min="2" max="2" width="11" style="2" bestFit="1" customWidth="1"/>
    <col min="3" max="3" width="9.85546875" style="2" bestFit="1" customWidth="1"/>
    <col min="4" max="4" width="13.7109375" style="8" bestFit="1" customWidth="1"/>
    <col min="5" max="5" width="11.85546875" style="25" bestFit="1" customWidth="1"/>
    <col min="6" max="6" width="17.42578125" style="2" bestFit="1" customWidth="1"/>
    <col min="7" max="7" width="11.42578125" style="2" bestFit="1" customWidth="1"/>
    <col min="8" max="9" width="10.5703125" style="2" bestFit="1" customWidth="1"/>
    <col min="10" max="11" width="9" style="2" bestFit="1" customWidth="1"/>
    <col min="12" max="12" width="9.85546875" style="2" bestFit="1" customWidth="1"/>
    <col min="13" max="13" width="9.42578125" style="2" hidden="1" customWidth="1"/>
    <col min="14" max="15" width="10.85546875" style="2" bestFit="1" customWidth="1"/>
    <col min="16" max="16" width="9" style="2" bestFit="1" customWidth="1"/>
    <col min="17" max="17" width="9.42578125" style="2" bestFit="1" customWidth="1"/>
    <col min="18" max="16384" width="11.5703125" style="2"/>
  </cols>
  <sheetData>
    <row r="1" spans="1:11" s="6" customFormat="1">
      <c r="A1" s="5" t="s">
        <v>21</v>
      </c>
      <c r="B1" s="5" t="s">
        <v>22</v>
      </c>
      <c r="C1" s="5" t="s">
        <v>27</v>
      </c>
      <c r="D1" s="5" t="s">
        <v>18</v>
      </c>
      <c r="E1" s="5" t="s">
        <v>28</v>
      </c>
      <c r="F1" s="5" t="s">
        <v>29</v>
      </c>
      <c r="G1" s="9" t="s">
        <v>23</v>
      </c>
      <c r="H1" s="5" t="s">
        <v>25</v>
      </c>
      <c r="I1" s="5" t="s">
        <v>26</v>
      </c>
    </row>
    <row r="2" spans="1:11" s="1" customFormat="1">
      <c r="A2" s="15">
        <v>40817</v>
      </c>
      <c r="B2" s="7">
        <v>2099.15</v>
      </c>
      <c r="C2" s="7">
        <v>0</v>
      </c>
      <c r="D2" s="7">
        <v>6.08</v>
      </c>
      <c r="E2" s="22">
        <f>SUMPRODUCT(N([DATA]&lt;=Tabela22[[#This Row],[DATA]]),[APLICAÇÃO]) + SUMPRODUCT(N([DATA]&lt;=Tabela22[[#This Row],[DATA]]),[LUCRO]) + SUMPRODUCT(N([DATA]&lt;=Tabela22[[#This Row],[DATA]]),[RESGATE])</f>
        <v>2105.23</v>
      </c>
      <c r="F2" s="7">
        <f>IF([LUCRO] &gt; 0, [PATRIMÔNIO] - [LUCRO] - [RESGATE], [PATRIMÔNIO] - [RESGATE])</f>
        <v>2099.15</v>
      </c>
      <c r="G2" s="8">
        <f>[LUCRO]/([PATRIMONIO - LUCRO])</f>
        <v>2.8964104518495581E-3</v>
      </c>
      <c r="H2" s="7">
        <f>[PATRIMONIO - LUCRO] * 3%</f>
        <v>62.974499999999999</v>
      </c>
      <c r="I2" s="7">
        <f>[PATRIMONIO - LUCRO] * 20%</f>
        <v>419.83000000000004</v>
      </c>
    </row>
    <row r="3" spans="1:11">
      <c r="A3" s="15">
        <v>40848</v>
      </c>
      <c r="B3" s="7">
        <v>2607.9899999999998</v>
      </c>
      <c r="C3" s="7">
        <v>0</v>
      </c>
      <c r="D3" s="7">
        <v>14.22</v>
      </c>
      <c r="E3" s="22">
        <f>SUMPRODUCT(N([DATA]&lt;=Tabela22[[#This Row],[DATA]]),[APLICAÇÃO]) + SUMPRODUCT(N([DATA]&lt;=Tabela22[[#This Row],[DATA]]),[LUCRO]) + SUMPRODUCT(N([DATA]&lt;=Tabela22[[#This Row],[DATA]]),[RESGATE])</f>
        <v>4727.4399999999996</v>
      </c>
      <c r="F3" s="7">
        <f>IF([LUCRO] &gt; 0, [PATRIMÔNIO] - [LUCRO] - [RESGATE], [PATRIMÔNIO] - [RESGATE])</f>
        <v>4713.2199999999993</v>
      </c>
      <c r="G3" s="8">
        <f>[LUCRO]/([PATRIMONIO - LUCRO])</f>
        <v>3.0170456715366569E-3</v>
      </c>
      <c r="H3" s="7">
        <f>[PATRIMONIO - LUCRO] * 3%</f>
        <v>141.39659999999998</v>
      </c>
      <c r="I3" s="10">
        <f>[PATRIMONIO - LUCRO] * 20%</f>
        <v>942.64399999999989</v>
      </c>
    </row>
    <row r="4" spans="1:11">
      <c r="A4" s="15">
        <v>40878</v>
      </c>
      <c r="B4" s="7">
        <v>1319.32</v>
      </c>
      <c r="C4" s="7">
        <v>0</v>
      </c>
      <c r="D4" s="7">
        <v>297.39999999999998</v>
      </c>
      <c r="E4" s="23">
        <f>SUMPRODUCT(N([DATA]&lt;=Tabela22[[#This Row],[DATA]]),[APLICAÇÃO]) + SUMPRODUCT(N([DATA]&lt;=Tabela22[[#This Row],[DATA]]),[LUCRO]) + SUMPRODUCT(N([DATA]&lt;=Tabela22[[#This Row],[DATA]]),[RESGATE])</f>
        <v>6344.1599999999989</v>
      </c>
      <c r="F4" s="10">
        <f>IF([LUCRO] &gt; 0, [PATRIMÔNIO] - [LUCRO] - [RESGATE], [PATRIMÔNIO] - [RESGATE])</f>
        <v>6046.7599999999993</v>
      </c>
      <c r="G4" s="8">
        <f>[LUCRO]/([PATRIMONIO - LUCRO])</f>
        <v>4.9183364314112021E-2</v>
      </c>
      <c r="H4" s="10">
        <f>[PATRIMONIO - LUCRO] * 3%</f>
        <v>181.40279999999998</v>
      </c>
      <c r="I4" s="10">
        <f>[PATRIMONIO - LUCRO] * 20%</f>
        <v>1209.3519999999999</v>
      </c>
    </row>
    <row r="5" spans="1:11">
      <c r="A5" s="15">
        <v>40909</v>
      </c>
      <c r="B5" s="7">
        <v>572.30999999999995</v>
      </c>
      <c r="C5" s="7">
        <v>0</v>
      </c>
      <c r="D5" s="7">
        <v>-466.58</v>
      </c>
      <c r="E5" s="23">
        <f>SUMPRODUCT(N([DATA]&lt;=Tabela22[[#This Row],[DATA]]),[APLICAÇÃO]) + SUMPRODUCT(N([DATA]&lt;=Tabela22[[#This Row],[DATA]]),[LUCRO]) + SUMPRODUCT(N([DATA]&lt;=Tabela22[[#This Row],[DATA]]),[RESGATE])</f>
        <v>6449.8899999999985</v>
      </c>
      <c r="F5" s="10">
        <f>IF([LUCRO] &gt; 0, [PATRIMÔNIO] - [LUCRO] - [RESGATE], [PATRIMÔNIO] - [RESGATE])</f>
        <v>6449.8899999999985</v>
      </c>
      <c r="G5" s="8">
        <f>[LUCRO]/([PATRIMONIO - LUCRO])</f>
        <v>-7.2339218188217175E-2</v>
      </c>
      <c r="H5" s="10">
        <f>[PATRIMONIO - LUCRO] * 3%</f>
        <v>193.49669999999995</v>
      </c>
      <c r="I5" s="10">
        <f>[PATRIMONIO - LUCRO] * 20%</f>
        <v>1289.9779999999998</v>
      </c>
    </row>
    <row r="6" spans="1:11">
      <c r="A6" s="15">
        <v>40940</v>
      </c>
      <c r="B6" s="7">
        <v>167</v>
      </c>
      <c r="C6" s="7">
        <v>0</v>
      </c>
      <c r="D6" s="7">
        <v>-1345.15</v>
      </c>
      <c r="E6" s="23">
        <f>SUMPRODUCT(N([DATA]&lt;=Tabela22[[#This Row],[DATA]]),[APLICAÇÃO]) + SUMPRODUCT(N([DATA]&lt;=Tabela22[[#This Row],[DATA]]),[LUCRO]) + SUMPRODUCT(N([DATA]&lt;=Tabela22[[#This Row],[DATA]]),[RESGATE])</f>
        <v>5271.739999999998</v>
      </c>
      <c r="F6" s="10">
        <f>IF([LUCRO] &gt; 0, [PATRIMÔNIO] - [LUCRO] - [RESGATE], [PATRIMÔNIO] - [RESGATE])</f>
        <v>5271.739999999998</v>
      </c>
      <c r="G6" s="8">
        <f>[LUCRO]/([PATRIMONIO - LUCRO])</f>
        <v>-0.25516243213815565</v>
      </c>
      <c r="H6" s="10">
        <f>[PATRIMONIO - LUCRO] * 3%</f>
        <v>158.15219999999994</v>
      </c>
      <c r="I6" s="10">
        <f>[PATRIMONIO - LUCRO] * 20%</f>
        <v>1054.3479999999997</v>
      </c>
    </row>
    <row r="7" spans="1:11">
      <c r="A7" s="15">
        <v>40969</v>
      </c>
      <c r="B7" s="7">
        <v>0</v>
      </c>
      <c r="C7" s="7">
        <v>0</v>
      </c>
      <c r="D7" s="7">
        <v>-554.19000000000005</v>
      </c>
      <c r="E7" s="23">
        <f>SUMPRODUCT(N([DATA]&lt;=Tabela22[[#This Row],[DATA]]),[APLICAÇÃO]) + SUMPRODUCT(N([DATA]&lt;=Tabela22[[#This Row],[DATA]]),[LUCRO]) + SUMPRODUCT(N([DATA]&lt;=Tabela22[[#This Row],[DATA]]),[RESGATE])</f>
        <v>4717.5499999999984</v>
      </c>
      <c r="F7" s="10">
        <f>IF([LUCRO] &gt; 0, [PATRIMÔNIO] - [LUCRO] - [RESGATE], [PATRIMÔNIO] - [RESGATE])</f>
        <v>4717.5499999999984</v>
      </c>
      <c r="G7" s="8">
        <f>[LUCRO]/([PATRIMONIO - LUCRO])</f>
        <v>-0.11747411262201783</v>
      </c>
      <c r="H7" s="10">
        <f>[PATRIMONIO - LUCRO] * 3%</f>
        <v>141.52649999999994</v>
      </c>
      <c r="I7" s="10">
        <f>[PATRIMONIO - LUCRO] * 20%</f>
        <v>943.50999999999976</v>
      </c>
    </row>
    <row r="8" spans="1:11">
      <c r="A8" s="15">
        <v>41000</v>
      </c>
      <c r="B8" s="7">
        <v>0</v>
      </c>
      <c r="C8" s="7">
        <v>0</v>
      </c>
      <c r="D8" s="7">
        <v>-1162.72</v>
      </c>
      <c r="E8" s="23">
        <f>SUMPRODUCT(N([DATA]&lt;=Tabela22[[#This Row],[DATA]]),[APLICAÇÃO]) + SUMPRODUCT(N([DATA]&lt;=Tabela22[[#This Row],[DATA]]),[LUCRO]) + SUMPRODUCT(N([DATA]&lt;=Tabela22[[#This Row],[DATA]]),[RESGATE])</f>
        <v>3554.8299999999981</v>
      </c>
      <c r="F8" s="10">
        <f>IF([LUCRO] &gt; 0, [PATRIMÔNIO] - [LUCRO] - [RESGATE], [PATRIMÔNIO] - [RESGATE])</f>
        <v>3554.8299999999981</v>
      </c>
      <c r="G8" s="8">
        <f>[LUCRO]/([PATRIMONIO - LUCRO])</f>
        <v>-0.32708174511861343</v>
      </c>
      <c r="H8" s="10">
        <f>[PATRIMONIO - LUCRO] * 3%</f>
        <v>106.64489999999994</v>
      </c>
      <c r="I8" s="10">
        <f>[PATRIMONIO - LUCRO] * 20%</f>
        <v>710.96599999999967</v>
      </c>
      <c r="K8" s="13"/>
    </row>
    <row r="9" spans="1:11">
      <c r="A9" s="15">
        <v>41030</v>
      </c>
      <c r="B9" s="7">
        <v>735.79</v>
      </c>
      <c r="C9" s="7">
        <v>0</v>
      </c>
      <c r="D9" s="7">
        <v>513.62</v>
      </c>
      <c r="E9" s="23">
        <f>SUMPRODUCT(N([DATA]&lt;=Tabela22[[#This Row],[DATA]]),[APLICAÇÃO]) + SUMPRODUCT(N([DATA]&lt;=Tabela22[[#This Row],[DATA]]),[LUCRO]) + SUMPRODUCT(N([DATA]&lt;=Tabela22[[#This Row],[DATA]]),[RESGATE])</f>
        <v>4804.239999999998</v>
      </c>
      <c r="F9" s="10">
        <f>IF([LUCRO] &gt; 0, [PATRIMÔNIO] - [LUCRO] - [RESGATE], [PATRIMÔNIO] - [RESGATE])</f>
        <v>4290.6199999999981</v>
      </c>
      <c r="G9" s="8">
        <f>[LUCRO]/([PATRIMONIO - LUCRO])</f>
        <v>0.11970764131990254</v>
      </c>
      <c r="H9" s="10">
        <f>[PATRIMONIO - LUCRO] * 3%</f>
        <v>128.71859999999992</v>
      </c>
      <c r="I9" s="10">
        <f>[PATRIMONIO - LUCRO] * 20%</f>
        <v>858.12399999999968</v>
      </c>
    </row>
    <row r="10" spans="1:11">
      <c r="A10" s="15">
        <v>41061</v>
      </c>
      <c r="B10" s="7">
        <v>249.4</v>
      </c>
      <c r="C10" s="7">
        <v>0</v>
      </c>
      <c r="D10" s="16">
        <v>916.88</v>
      </c>
      <c r="E10" s="24">
        <f>SUMPRODUCT(N([DATA]&lt;=Tabela22[[#This Row],[DATA]]),[APLICAÇÃO]) + SUMPRODUCT(N([DATA]&lt;=Tabela22[[#This Row],[DATA]]),[LUCRO]) + SUMPRODUCT(N([DATA]&lt;=Tabela22[[#This Row],[DATA]]),[RESGATE])</f>
        <v>5970.5199999999977</v>
      </c>
      <c r="F10" s="17">
        <f>IF([LUCRO] &gt; 0, [PATRIMÔNIO] - [LUCRO] - [RESGATE], [PATRIMÔNIO] - [RESGATE])</f>
        <v>5053.6399999999976</v>
      </c>
      <c r="G10" s="18">
        <f>[LUCRO]/([PATRIMONIO - LUCRO])</f>
        <v>0.18142962300440879</v>
      </c>
      <c r="H10" s="17">
        <f>[PATRIMONIO - LUCRO] * 3%</f>
        <v>151.60919999999993</v>
      </c>
      <c r="I10" s="10">
        <f>[PATRIMONIO - LUCRO] * 20%</f>
        <v>1010.7279999999996</v>
      </c>
    </row>
    <row r="11" spans="1:11">
      <c r="A11" s="15">
        <v>41091</v>
      </c>
      <c r="B11" s="7">
        <v>250.45</v>
      </c>
      <c r="C11" s="7">
        <v>-1967.8</v>
      </c>
      <c r="D11" s="7">
        <v>-556.79999999999995</v>
      </c>
      <c r="E11" s="23">
        <f>SUMPRODUCT(N([DATA]&lt;=Tabela22[[#This Row],[DATA]]),[APLICAÇÃO]) + SUMPRODUCT(N([DATA]&lt;=Tabela22[[#This Row],[DATA]]),[LUCRO]) + SUMPRODUCT(N([DATA]&lt;=Tabela22[[#This Row],[DATA]]),[RESGATE])</f>
        <v>3696.3699999999972</v>
      </c>
      <c r="F11" s="10">
        <f>IF([LUCRO] &gt; 0, [PATRIMÔNIO] - [LUCRO] - [RESGATE], [PATRIMÔNIO] - [RESGATE])</f>
        <v>5664.1699999999973</v>
      </c>
      <c r="G11" s="8">
        <f>[LUCRO]/([PATRIMONIO - LUCRO])</f>
        <v>-9.8302134293285728E-2</v>
      </c>
      <c r="H11" s="10">
        <f>[PATRIMONIO - LUCRO] * 3%</f>
        <v>169.9250999999999</v>
      </c>
      <c r="I11" s="10">
        <f>[PATRIMONIO - LUCRO] * 20%</f>
        <v>1132.8339999999996</v>
      </c>
    </row>
    <row r="12" spans="1:11">
      <c r="A12" s="15">
        <v>41122</v>
      </c>
      <c r="B12" s="7"/>
      <c r="C12" s="19"/>
      <c r="D12" s="19">
        <v>-140.97999999999999</v>
      </c>
      <c r="E12" s="30">
        <f>SUMPRODUCT(N([DATA]&lt;=Tabela22[[#This Row],[DATA]]),[APLICAÇÃO]) + SUMPRODUCT(N([DATA]&lt;=Tabela22[[#This Row],[DATA]]),[LUCRO]) + SUMPRODUCT(N([DATA]&lt;=Tabela22[[#This Row],[DATA]]),[RESGATE])</f>
        <v>3555.3899999999967</v>
      </c>
      <c r="F12" s="20">
        <f>IF([LUCRO] &gt; 0, [PATRIMÔNIO] - [LUCRO] - [RESGATE], [PATRIMÔNIO] - [RESGATE])</f>
        <v>3555.3899999999967</v>
      </c>
      <c r="G12" s="21">
        <f>[LUCRO]/([PATRIMONIO - LUCRO])</f>
        <v>-3.9652471318195791E-2</v>
      </c>
      <c r="H12" s="20">
        <f>[PATRIMONIO - LUCRO] * 3%</f>
        <v>106.6616999999999</v>
      </c>
      <c r="I12" s="20">
        <f>[PATRIMONIO - LUCRO] * 20%</f>
        <v>711.07799999999941</v>
      </c>
    </row>
    <row r="13" spans="1:11">
      <c r="A13" s="27">
        <f>SUBTOTAL(103,[DATA])</f>
        <v>11</v>
      </c>
      <c r="B13" s="28">
        <f>SUBTOTAL(109,[APLICAÇÃO])</f>
        <v>8001.409999999998</v>
      </c>
      <c r="C13" s="28"/>
      <c r="D13" s="28">
        <f>SUBTOTAL(109,[LUCRO])</f>
        <v>-2478.2200000000007</v>
      </c>
      <c r="E13" s="31">
        <f>Tabela22[[#Totals],[LUCRO]]/Tabela22[[#Totals],[APLICAÇÃO]]</f>
        <v>-0.30972291133687702</v>
      </c>
      <c r="F13" s="29"/>
      <c r="G13" s="29">
        <f>(1 + Tabela22[[#Totals],[PATRIMÔNIO]]) ^ (1/12) - 1</f>
        <v>-3.0416339256420288E-2</v>
      </c>
      <c r="H13" s="29"/>
      <c r="I13" s="27"/>
    </row>
    <row r="15" spans="1:11">
      <c r="C15" s="11"/>
    </row>
    <row r="17" spans="3:5">
      <c r="C17" s="11"/>
      <c r="D17" s="14"/>
      <c r="E17" s="26"/>
    </row>
    <row r="18" spans="3:5">
      <c r="D18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Roman,Regular"&amp;12&amp;A</oddHeader>
    <oddFooter>&amp;C&amp;"Times New Roman,Regular"&amp;12Página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F6" sqref="F6"/>
    </sheetView>
  </sheetViews>
  <sheetFormatPr defaultColWidth="11.5703125" defaultRowHeight="11.25"/>
  <cols>
    <col min="1" max="1" width="10" style="2" bestFit="1" customWidth="1"/>
    <col min="2" max="2" width="11" style="2" bestFit="1" customWidth="1"/>
    <col min="3" max="3" width="10.7109375" style="2" bestFit="1" customWidth="1"/>
    <col min="4" max="4" width="11.85546875" style="8" bestFit="1" customWidth="1"/>
    <col min="5" max="5" width="16.28515625" style="2" customWidth="1"/>
    <col min="6" max="7" width="11.42578125" style="2" bestFit="1" customWidth="1"/>
    <col min="8" max="8" width="10.5703125" style="2" bestFit="1" customWidth="1"/>
    <col min="9" max="11" width="9" style="2" bestFit="1" customWidth="1"/>
    <col min="12" max="12" width="9.85546875" style="2" bestFit="1" customWidth="1"/>
    <col min="13" max="13" width="9.42578125" style="2" hidden="1" customWidth="1"/>
    <col min="14" max="15" width="10.85546875" style="2" bestFit="1" customWidth="1"/>
    <col min="16" max="16" width="9" style="2" bestFit="1" customWidth="1"/>
    <col min="17" max="17" width="9.42578125" style="2" bestFit="1" customWidth="1"/>
    <col min="18" max="16384" width="11.5703125" style="2"/>
  </cols>
  <sheetData>
    <row r="1" spans="1:10" s="6" customFormat="1">
      <c r="A1" s="5" t="s">
        <v>21</v>
      </c>
      <c r="B1" s="5" t="s">
        <v>22</v>
      </c>
      <c r="C1" s="5" t="s">
        <v>18</v>
      </c>
      <c r="D1" s="5" t="s">
        <v>30</v>
      </c>
      <c r="E1" s="5" t="s">
        <v>24</v>
      </c>
      <c r="F1" s="9" t="s">
        <v>23</v>
      </c>
      <c r="G1" s="5" t="s">
        <v>25</v>
      </c>
      <c r="H1" s="5" t="s">
        <v>26</v>
      </c>
    </row>
    <row r="2" spans="1:10">
      <c r="A2" s="15">
        <v>41000</v>
      </c>
      <c r="B2" s="7">
        <v>0</v>
      </c>
      <c r="C2" s="7">
        <v>293.5</v>
      </c>
      <c r="D2" s="10">
        <f>SUMPRODUCT(N([DATA]&lt;=Tabela224[[#This Row],[DATA]]),[APLICAÇÃO]) + SUMPRODUCT(N([DATA]&lt;=Tabela224[[#This Row],[DATA]]),[LUCRO])</f>
        <v>293.5</v>
      </c>
      <c r="E2" s="10">
        <f>[PATRIMONIO] - [LUCRO] - SUMPRODUCT(N([DATA]&lt;=Tabela224[[#This Row],[DATA]]),[APLICAÇÃO] )</f>
        <v>0</v>
      </c>
      <c r="F2" s="8">
        <f>IF([MONTANTE - LUCRO] &lt;= 0, 0, [LUCRO]/([MONTANTE - LUCRO]))</f>
        <v>0</v>
      </c>
      <c r="G2" s="10">
        <f>[MONTANTE - LUCRO] * 3%</f>
        <v>0</v>
      </c>
      <c r="H2" s="10">
        <f>[MONTANTE - LUCRO] * 20%</f>
        <v>0</v>
      </c>
      <c r="J2" s="13"/>
    </row>
    <row r="3" spans="1:10">
      <c r="A3" s="15">
        <v>41030</v>
      </c>
      <c r="B3" s="7">
        <v>0</v>
      </c>
      <c r="C3" s="7">
        <v>409.3</v>
      </c>
      <c r="D3" s="10">
        <f>SUMPRODUCT(N([DATA]&lt;=Tabela224[[#This Row],[DATA]]),[APLICAÇÃO]) + SUMPRODUCT(N([DATA]&lt;=Tabela224[[#This Row],[DATA]]),[LUCRO])</f>
        <v>702.8</v>
      </c>
      <c r="E3" s="10">
        <f>[PATRIMONIO] - [LUCRO] - SUMPRODUCT(N([DATA]&lt;=Tabela224[[#This Row],[DATA]]),[APLICAÇÃO] )</f>
        <v>293.49999999999994</v>
      </c>
      <c r="F3" s="8">
        <f>IF([MONTANTE - LUCRO] &lt;= 0, 0, [LUCRO]/([MONTANTE - LUCRO]))</f>
        <v>1.3945485519591145</v>
      </c>
      <c r="G3" s="10">
        <f>[MONTANTE - LUCRO] * 3%</f>
        <v>8.8049999999999979</v>
      </c>
      <c r="H3" s="10">
        <f>[MONTANTE - LUCRO] * 20%</f>
        <v>58.699999999999989</v>
      </c>
    </row>
    <row r="4" spans="1:10">
      <c r="A4" s="15">
        <v>41061</v>
      </c>
      <c r="B4" s="7">
        <v>0</v>
      </c>
      <c r="C4" s="16">
        <v>1037.6199999999999</v>
      </c>
      <c r="D4" s="17">
        <f>SUMPRODUCT(N([DATA]&lt;=Tabela224[[#This Row],[DATA]]),[APLICAÇÃO]) + SUMPRODUCT(N([DATA]&lt;=Tabela224[[#This Row],[DATA]]),[LUCRO])</f>
        <v>1740.4199999999998</v>
      </c>
      <c r="E4" s="17">
        <f>[PATRIMONIO] - [LUCRO] - SUMPRODUCT(N([DATA]&lt;=Tabela224[[#This Row],[DATA]]),[APLICAÇÃO] )</f>
        <v>702.8</v>
      </c>
      <c r="F4" s="18">
        <f>IF([MONTANTE - LUCRO] &lt;= 0, 0, [LUCRO]/([MONTANTE - LUCRO]))</f>
        <v>1.4764086511098462</v>
      </c>
      <c r="G4" s="17">
        <f>[MONTANTE - LUCRO] * 3%</f>
        <v>21.084</v>
      </c>
      <c r="H4" s="10">
        <f>[MONTANTE - LUCRO] * 20%</f>
        <v>140.56</v>
      </c>
    </row>
    <row r="5" spans="1:10">
      <c r="A5" s="15">
        <v>41091</v>
      </c>
      <c r="B5" s="7">
        <v>-1967.8</v>
      </c>
      <c r="C5" s="7">
        <v>648.07000000000005</v>
      </c>
      <c r="D5" s="10">
        <f>SUMPRODUCT(N([DATA]&lt;=Tabela224[[#This Row],[DATA]]),[APLICAÇÃO]) + SUMPRODUCT(N([DATA]&lt;=Tabela224[[#This Row],[DATA]]),[LUCRO])</f>
        <v>420.68999999999983</v>
      </c>
      <c r="E5" s="10">
        <f>[PATRIMONIO] - [LUCRO] - SUMPRODUCT(N([DATA]&lt;=Tabela224[[#This Row],[DATA]]),[APLICAÇÃO] )</f>
        <v>1740.4199999999996</v>
      </c>
      <c r="F5" s="8">
        <f>IF([MONTANTE - LUCRO] &lt;= 0, 0, [LUCRO]/([MONTANTE - LUCRO]))</f>
        <v>0.37236414198871548</v>
      </c>
      <c r="G5" s="10">
        <f>[MONTANTE - LUCRO] * 3%</f>
        <v>52.212599999999988</v>
      </c>
      <c r="H5" s="10">
        <f>[MONTANTE - LUCRO] * 20%</f>
        <v>348.08399999999995</v>
      </c>
    </row>
    <row r="6" spans="1:10">
      <c r="A6" s="27">
        <f>SUBTOTAL(103,[DATA])</f>
        <v>4</v>
      </c>
      <c r="B6" s="28">
        <f>SUBTOTAL(109,[APLICAÇÃO])</f>
        <v>-1967.8</v>
      </c>
      <c r="C6" s="27"/>
      <c r="D6" s="28">
        <f>SUBTOTAL(109,[LUCRO])</f>
        <v>2388.4899999999998</v>
      </c>
      <c r="E6" s="29"/>
      <c r="F6" s="29"/>
      <c r="G6" s="28">
        <f>SUBTOTAL(109,[META MIN])</f>
        <v>82.101599999999991</v>
      </c>
      <c r="H6" s="28">
        <f>SUBTOTAL(109,[META MAX])</f>
        <v>547.34399999999994</v>
      </c>
    </row>
    <row r="8" spans="1:10">
      <c r="C8" s="11"/>
    </row>
    <row r="10" spans="1:10">
      <c r="C10" s="11"/>
      <c r="D10" s="14"/>
      <c r="E10" s="11"/>
    </row>
    <row r="11" spans="1:10">
      <c r="D11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PATRIMONIO</vt:lpstr>
      <vt:lpstr>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2012-03-09T22:14:16Z</dcterms:created>
  <dcterms:modified xsi:type="dcterms:W3CDTF">2012-08-02T16:40:44Z</dcterms:modified>
</cp:coreProperties>
</file>