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EstaPasta_de_trabalho"/>
  <bookViews>
    <workbookView xWindow="0" yWindow="60" windowWidth="16380" windowHeight="8130" tabRatio="211" activeTab="1"/>
  </bookViews>
  <sheets>
    <sheet name="Plan3" sheetId="6" r:id="rId1"/>
    <sheet name="Planilha1" sheetId="1" r:id="rId2"/>
    <sheet name="SETUP" sheetId="2" r:id="rId3"/>
    <sheet name="Planilha3" sheetId="3" r:id="rId4"/>
  </sheets>
  <calcPr calcId="124519"/>
  <pivotCaches>
    <pivotCache cacheId="0" r:id="rId5"/>
  </pivotCaches>
</workbook>
</file>

<file path=xl/calcChain.xml><?xml version="1.0" encoding="utf-8"?>
<calcChain xmlns="http://schemas.openxmlformats.org/spreadsheetml/2006/main">
  <c r="J52" i="1"/>
  <c r="K52"/>
  <c r="M52"/>
  <c r="R52"/>
  <c r="S52"/>
  <c r="T52"/>
  <c r="X52"/>
  <c r="Y52"/>
  <c r="AC52"/>
  <c r="J49"/>
  <c r="K49"/>
  <c r="M49"/>
  <c r="R49"/>
  <c r="S49"/>
  <c r="T49"/>
  <c r="X49"/>
  <c r="Y49"/>
  <c r="AA49"/>
  <c r="AC49"/>
  <c r="M2" l="1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50"/>
  <c r="M47"/>
  <c r="M51"/>
  <c r="M48"/>
  <c r="N52" l="1"/>
  <c r="O52"/>
  <c r="P52"/>
  <c r="Q52"/>
  <c r="N49"/>
  <c r="O49"/>
  <c r="P49"/>
  <c r="Q49"/>
  <c r="J48"/>
  <c r="K48"/>
  <c r="R48"/>
  <c r="S48" s="1"/>
  <c r="X48"/>
  <c r="Y48"/>
  <c r="AC48"/>
  <c r="J51"/>
  <c r="K51"/>
  <c r="R51"/>
  <c r="S51" s="1"/>
  <c r="X51"/>
  <c r="Y51"/>
  <c r="AC51"/>
  <c r="J47"/>
  <c r="K47" s="1"/>
  <c r="R47"/>
  <c r="S47" s="1"/>
  <c r="X47"/>
  <c r="Y47"/>
  <c r="AC47"/>
  <c r="J50"/>
  <c r="K50" s="1"/>
  <c r="R50"/>
  <c r="T50" s="1"/>
  <c r="X50"/>
  <c r="Y50"/>
  <c r="AC50"/>
  <c r="J46"/>
  <c r="K46" s="1"/>
  <c r="R46"/>
  <c r="T46" s="1"/>
  <c r="X46"/>
  <c r="Y46"/>
  <c r="AC46"/>
  <c r="J45"/>
  <c r="K45" s="1"/>
  <c r="X45"/>
  <c r="R45"/>
  <c r="S45" s="1"/>
  <c r="Y45"/>
  <c r="AC45"/>
  <c r="J44"/>
  <c r="K44" s="1"/>
  <c r="X44"/>
  <c r="R44"/>
  <c r="S44" s="1"/>
  <c r="Y44"/>
  <c r="AC44"/>
  <c r="J43"/>
  <c r="K43" s="1"/>
  <c r="X43"/>
  <c r="R43"/>
  <c r="T43" s="1"/>
  <c r="Y43"/>
  <c r="Z43"/>
  <c r="AC43"/>
  <c r="AB5"/>
  <c r="AB37"/>
  <c r="AB41"/>
  <c r="J42"/>
  <c r="K42" s="1"/>
  <c r="R42"/>
  <c r="T42" s="1"/>
  <c r="X42"/>
  <c r="Y42"/>
  <c r="AC42"/>
  <c r="J41"/>
  <c r="K41" s="1"/>
  <c r="X41"/>
  <c r="R41"/>
  <c r="S41" s="1"/>
  <c r="Y41"/>
  <c r="Z41"/>
  <c r="AC41"/>
  <c r="U52" l="1"/>
  <c r="U49"/>
  <c r="T48"/>
  <c r="T47"/>
  <c r="S50"/>
  <c r="T51"/>
  <c r="T41"/>
  <c r="T44"/>
  <c r="S43"/>
  <c r="T45"/>
  <c r="S42"/>
  <c r="S46"/>
  <c r="J40"/>
  <c r="K40"/>
  <c r="R40"/>
  <c r="T40" s="1"/>
  <c r="X40"/>
  <c r="Y40"/>
  <c r="AC40"/>
  <c r="J39"/>
  <c r="K39" s="1"/>
  <c r="X39"/>
  <c r="R39"/>
  <c r="T39" s="1"/>
  <c r="Y39"/>
  <c r="Z39"/>
  <c r="AC39"/>
  <c r="S39" l="1"/>
  <c r="S40"/>
  <c r="J38"/>
  <c r="K38" s="1"/>
  <c r="X38"/>
  <c r="R38"/>
  <c r="S38" s="1"/>
  <c r="Y38"/>
  <c r="AC38"/>
  <c r="J37"/>
  <c r="K37" s="1"/>
  <c r="R37"/>
  <c r="S37" s="1"/>
  <c r="X37"/>
  <c r="Y37"/>
  <c r="AA37"/>
  <c r="AC37"/>
  <c r="T38" l="1"/>
  <c r="T37"/>
  <c r="J36"/>
  <c r="X36"/>
  <c r="R36"/>
  <c r="S36" s="1"/>
  <c r="Y36"/>
  <c r="AC36"/>
  <c r="J35"/>
  <c r="R35"/>
  <c r="S35" s="1"/>
  <c r="X35"/>
  <c r="Y35"/>
  <c r="AC35"/>
  <c r="T36" l="1"/>
  <c r="K35"/>
  <c r="K36"/>
  <c r="T35"/>
  <c r="J34" l="1"/>
  <c r="X34"/>
  <c r="R34"/>
  <c r="T34" s="1"/>
  <c r="Y34"/>
  <c r="Z34"/>
  <c r="AC34"/>
  <c r="J33"/>
  <c r="R33"/>
  <c r="T33" s="1"/>
  <c r="X33"/>
  <c r="Y33"/>
  <c r="AC33"/>
  <c r="K33" l="1"/>
  <c r="K34"/>
  <c r="S33"/>
  <c r="S34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AC2"/>
  <c r="AC3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H52" l="1"/>
  <c r="AH49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AA2"/>
  <c r="AA3"/>
  <c r="AA5"/>
  <c r="AA6"/>
  <c r="AA7"/>
  <c r="AA9"/>
  <c r="AA12"/>
  <c r="AA15"/>
  <c r="AA18"/>
  <c r="AA21"/>
  <c r="AA22"/>
  <c r="AA24"/>
  <c r="AA29"/>
  <c r="AA30"/>
  <c r="Z5"/>
  <c r="Z6"/>
  <c r="Z8"/>
  <c r="Z13"/>
  <c r="Z32"/>
  <c r="Y2"/>
  <c r="X2"/>
  <c r="X3"/>
  <c r="X5"/>
  <c r="X7"/>
  <c r="X9"/>
  <c r="X12"/>
  <c r="X15"/>
  <c r="X17"/>
  <c r="X18"/>
  <c r="X19"/>
  <c r="X21"/>
  <c r="X22"/>
  <c r="X24"/>
  <c r="X29"/>
  <c r="X30"/>
  <c r="Y3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L52" l="1"/>
  <c r="L49"/>
  <c r="L48"/>
  <c r="L51"/>
  <c r="L47"/>
  <c r="L50"/>
  <c r="L46"/>
  <c r="L45"/>
  <c r="L44"/>
  <c r="L43"/>
  <c r="L42"/>
  <c r="L41"/>
  <c r="L40"/>
  <c r="L39"/>
  <c r="L38"/>
  <c r="L37"/>
  <c r="L36"/>
  <c r="L35"/>
  <c r="L34"/>
  <c r="L33"/>
  <c r="L2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X32"/>
  <c r="R32"/>
  <c r="S32" s="1"/>
  <c r="T32" l="1"/>
  <c r="X31"/>
  <c r="R31"/>
  <c r="S31" l="1"/>
  <c r="T31"/>
  <c r="R2" l="1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X4"/>
  <c r="X6"/>
  <c r="X8"/>
  <c r="X10"/>
  <c r="X11"/>
  <c r="X13"/>
  <c r="X14"/>
  <c r="X16"/>
  <c r="X20"/>
  <c r="X23"/>
  <c r="X25"/>
  <c r="X26"/>
  <c r="X27"/>
  <c r="X28"/>
  <c r="N48" l="1"/>
  <c r="P48"/>
  <c r="AH48"/>
  <c r="O48"/>
  <c r="Q48"/>
  <c r="N51"/>
  <c r="O51"/>
  <c r="P51"/>
  <c r="Q51"/>
  <c r="AH51"/>
  <c r="N47"/>
  <c r="O47"/>
  <c r="P47"/>
  <c r="Q47"/>
  <c r="AH47"/>
  <c r="N50"/>
  <c r="O50"/>
  <c r="P50"/>
  <c r="Q50"/>
  <c r="AH50"/>
  <c r="N46"/>
  <c r="O46"/>
  <c r="P46"/>
  <c r="Q46"/>
  <c r="AH46"/>
  <c r="N45"/>
  <c r="O45"/>
  <c r="P45"/>
  <c r="Q45"/>
  <c r="AH45"/>
  <c r="N44"/>
  <c r="O44"/>
  <c r="P44"/>
  <c r="Q44"/>
  <c r="AH44"/>
  <c r="N43"/>
  <c r="O43"/>
  <c r="P43"/>
  <c r="Q43"/>
  <c r="AH43"/>
  <c r="N42"/>
  <c r="O42"/>
  <c r="P42"/>
  <c r="Q42"/>
  <c r="AH42"/>
  <c r="N41"/>
  <c r="O41"/>
  <c r="P41"/>
  <c r="Q41"/>
  <c r="AH41"/>
  <c r="N40"/>
  <c r="O40"/>
  <c r="P40"/>
  <c r="Q40"/>
  <c r="AH40"/>
  <c r="N39"/>
  <c r="O39"/>
  <c r="P39"/>
  <c r="Q39"/>
  <c r="AH39"/>
  <c r="N38"/>
  <c r="O38"/>
  <c r="P38"/>
  <c r="Q38"/>
  <c r="AH38"/>
  <c r="N37"/>
  <c r="O37"/>
  <c r="P37"/>
  <c r="Q37"/>
  <c r="AH37"/>
  <c r="O36"/>
  <c r="P36"/>
  <c r="Q36"/>
  <c r="N36"/>
  <c r="U36" s="1"/>
  <c r="AH36"/>
  <c r="O35"/>
  <c r="P35"/>
  <c r="Q35"/>
  <c r="N35"/>
  <c r="U35" s="1"/>
  <c r="AH35"/>
  <c r="N34"/>
  <c r="O34"/>
  <c r="P34"/>
  <c r="Q34"/>
  <c r="AH34"/>
  <c r="N33"/>
  <c r="O33"/>
  <c r="P33"/>
  <c r="Q33"/>
  <c r="AH33"/>
  <c r="AH21"/>
  <c r="AH5"/>
  <c r="AH24"/>
  <c r="AH8"/>
  <c r="AH27"/>
  <c r="AH11"/>
  <c r="AH30"/>
  <c r="AH14"/>
  <c r="AH29"/>
  <c r="AH32"/>
  <c r="AH3"/>
  <c r="AH6"/>
  <c r="AH9"/>
  <c r="AH12"/>
  <c r="AH15"/>
  <c r="AH18"/>
  <c r="AH17"/>
  <c r="AH20"/>
  <c r="AH4"/>
  <c r="AH23"/>
  <c r="AH7"/>
  <c r="AH26"/>
  <c r="AH10"/>
  <c r="AH13"/>
  <c r="AH16"/>
  <c r="AH19"/>
  <c r="AH22"/>
  <c r="AH25"/>
  <c r="AH28"/>
  <c r="AH31"/>
  <c r="AH2"/>
  <c r="Q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P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O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U31" s="1"/>
  <c r="N32"/>
  <c r="U32" s="1"/>
  <c r="N2"/>
  <c r="S30"/>
  <c r="T30"/>
  <c r="S29"/>
  <c r="T29"/>
  <c r="S28"/>
  <c r="T28"/>
  <c r="S27"/>
  <c r="T27"/>
  <c r="S26"/>
  <c r="T26"/>
  <c r="S25"/>
  <c r="T25"/>
  <c r="S24"/>
  <c r="T24"/>
  <c r="S23"/>
  <c r="T23"/>
  <c r="S22"/>
  <c r="T22"/>
  <c r="S21"/>
  <c r="T21"/>
  <c r="S20"/>
  <c r="T20"/>
  <c r="S19"/>
  <c r="T19"/>
  <c r="S18"/>
  <c r="T18"/>
  <c r="S17"/>
  <c r="T17"/>
  <c r="S16"/>
  <c r="T16"/>
  <c r="S15"/>
  <c r="T15"/>
  <c r="S14"/>
  <c r="T14"/>
  <c r="S13"/>
  <c r="T13"/>
  <c r="S12"/>
  <c r="T12"/>
  <c r="S11"/>
  <c r="T11"/>
  <c r="S10"/>
  <c r="T10"/>
  <c r="S9"/>
  <c r="T9"/>
  <c r="S8"/>
  <c r="T8"/>
  <c r="S7"/>
  <c r="T7"/>
  <c r="S6"/>
  <c r="T6"/>
  <c r="S5"/>
  <c r="T5"/>
  <c r="S4"/>
  <c r="T4"/>
  <c r="S3"/>
  <c r="T3"/>
  <c r="S2"/>
  <c r="T2"/>
  <c r="U2" l="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U33"/>
  <c r="U34"/>
  <c r="U37"/>
  <c r="U38"/>
  <c r="U39"/>
  <c r="U40"/>
  <c r="U41"/>
  <c r="U42"/>
  <c r="U43"/>
  <c r="U44"/>
  <c r="U45"/>
  <c r="U46"/>
  <c r="U50"/>
  <c r="U47"/>
  <c r="U51"/>
  <c r="U48"/>
  <c r="X53"/>
  <c r="V52" l="1"/>
  <c r="V49"/>
  <c r="V48"/>
  <c r="V51"/>
  <c r="V47"/>
  <c r="V50"/>
  <c r="V46"/>
  <c r="V45"/>
  <c r="V44"/>
  <c r="AB6"/>
  <c r="AB38"/>
  <c r="AB42"/>
  <c r="V43"/>
  <c r="V42"/>
  <c r="V41"/>
  <c r="AD41" s="1"/>
  <c r="V40"/>
  <c r="V39"/>
  <c r="V38"/>
  <c r="V37"/>
  <c r="AD37" s="1"/>
  <c r="V36"/>
  <c r="V35"/>
  <c r="W35" s="1"/>
  <c r="Z35" s="1"/>
  <c r="V34"/>
  <c r="V33"/>
  <c r="V20"/>
  <c r="W20" s="1"/>
  <c r="AA20" s="1"/>
  <c r="V13"/>
  <c r="W13" s="1"/>
  <c r="V25"/>
  <c r="W25" s="1"/>
  <c r="AA25" s="1"/>
  <c r="V23"/>
  <c r="W23" s="1"/>
  <c r="AA23" s="1"/>
  <c r="V22"/>
  <c r="W22" s="1"/>
  <c r="V26"/>
  <c r="W26" s="1"/>
  <c r="AA26" s="1"/>
  <c r="V32"/>
  <c r="W32" s="1"/>
  <c r="V3"/>
  <c r="W3" s="1"/>
  <c r="V11"/>
  <c r="W11" s="1"/>
  <c r="AA11" s="1"/>
  <c r="V19"/>
  <c r="W19" s="1"/>
  <c r="Z19" s="1"/>
  <c r="V12"/>
  <c r="W12" s="1"/>
  <c r="V7"/>
  <c r="W7" s="1"/>
  <c r="V15"/>
  <c r="W15" s="1"/>
  <c r="V27"/>
  <c r="W27" s="1"/>
  <c r="AA27" s="1"/>
  <c r="V31"/>
  <c r="W31" s="1"/>
  <c r="AA31" s="1"/>
  <c r="V4"/>
  <c r="W4" s="1"/>
  <c r="AA4" s="1"/>
  <c r="V16"/>
  <c r="W16" s="1"/>
  <c r="AA16" s="1"/>
  <c r="V28"/>
  <c r="W28" s="1"/>
  <c r="AA28" s="1"/>
  <c r="V8"/>
  <c r="W8" s="1"/>
  <c r="V30"/>
  <c r="W30" s="1"/>
  <c r="V24"/>
  <c r="W24" s="1"/>
  <c r="V14"/>
  <c r="W14" s="1"/>
  <c r="AA14" s="1"/>
  <c r="V17"/>
  <c r="W17" s="1"/>
  <c r="Z17" s="1"/>
  <c r="V21"/>
  <c r="W21" s="1"/>
  <c r="V9"/>
  <c r="W9" s="1"/>
  <c r="V29"/>
  <c r="W29" s="1"/>
  <c r="V6"/>
  <c r="W6" s="1"/>
  <c r="V2"/>
  <c r="V18"/>
  <c r="W18" s="1"/>
  <c r="V5"/>
  <c r="AD5" s="1"/>
  <c r="V10"/>
  <c r="W10" s="1"/>
  <c r="AA10" s="1"/>
  <c r="W52" l="1"/>
  <c r="Z52" s="1"/>
  <c r="Z49"/>
  <c r="AB49" s="1"/>
  <c r="W49"/>
  <c r="AD49"/>
  <c r="AD42"/>
  <c r="AD38"/>
  <c r="AD6"/>
  <c r="AA48"/>
  <c r="W48"/>
  <c r="Z48" s="1"/>
  <c r="AA51"/>
  <c r="AA47"/>
  <c r="AA50"/>
  <c r="AA46"/>
  <c r="W51"/>
  <c r="Z51" s="1"/>
  <c r="W47"/>
  <c r="Z47" s="1"/>
  <c r="W50"/>
  <c r="Z50" s="1"/>
  <c r="W46"/>
  <c r="Z46" s="1"/>
  <c r="AA45"/>
  <c r="W45"/>
  <c r="Z45" s="1"/>
  <c r="AA44"/>
  <c r="W44"/>
  <c r="Z44" s="1"/>
  <c r="AA43"/>
  <c r="AB43" s="1"/>
  <c r="AD43" s="1"/>
  <c r="W43"/>
  <c r="AA42"/>
  <c r="W42"/>
  <c r="Z42" s="1"/>
  <c r="AA41"/>
  <c r="W41"/>
  <c r="AA39"/>
  <c r="AB39" s="1"/>
  <c r="AD39" s="1"/>
  <c r="W40"/>
  <c r="AA40" s="1"/>
  <c r="W39"/>
  <c r="Z38"/>
  <c r="W38"/>
  <c r="AA38" s="1"/>
  <c r="Z37"/>
  <c r="W37"/>
  <c r="Z36"/>
  <c r="W36"/>
  <c r="AA36" s="1"/>
  <c r="AA35"/>
  <c r="AA34"/>
  <c r="W34"/>
  <c r="W33"/>
  <c r="AA33" s="1"/>
  <c r="W2"/>
  <c r="Z16"/>
  <c r="Z30"/>
  <c r="Z11"/>
  <c r="Z26"/>
  <c r="Z4"/>
  <c r="W5"/>
  <c r="Z22"/>
  <c r="AA19"/>
  <c r="AA8"/>
  <c r="Z25"/>
  <c r="Z15"/>
  <c r="Z3"/>
  <c r="Z28"/>
  <c r="Z24"/>
  <c r="Z20"/>
  <c r="Z14"/>
  <c r="Z9"/>
  <c r="Z2"/>
  <c r="AB2" s="1"/>
  <c r="AA13"/>
  <c r="Z29"/>
  <c r="Z21"/>
  <c r="Z10"/>
  <c r="AA17"/>
  <c r="Z31"/>
  <c r="Z27"/>
  <c r="Z23"/>
  <c r="Z18"/>
  <c r="Z12"/>
  <c r="Z7"/>
  <c r="AA32"/>
  <c r="AA52" l="1"/>
  <c r="AB52" s="1"/>
  <c r="AD52" s="1"/>
  <c r="AD2"/>
  <c r="AB48"/>
  <c r="AD48" s="1"/>
  <c r="AB46"/>
  <c r="AD46" s="1"/>
  <c r="AB51"/>
  <c r="AD51" s="1"/>
  <c r="AB47"/>
  <c r="AD47" s="1"/>
  <c r="AB50"/>
  <c r="AD50" s="1"/>
  <c r="AB45"/>
  <c r="AD45" s="1"/>
  <c r="AB44"/>
  <c r="AD44" s="1"/>
  <c r="AB32"/>
  <c r="AD32" s="1"/>
  <c r="AB7"/>
  <c r="AD7" s="1"/>
  <c r="AB12"/>
  <c r="AD12" s="1"/>
  <c r="AB18"/>
  <c r="AD18" s="1"/>
  <c r="AB23"/>
  <c r="AD23" s="1"/>
  <c r="AB27"/>
  <c r="AD27" s="1"/>
  <c r="AB31"/>
  <c r="AD31" s="1"/>
  <c r="AB10"/>
  <c r="AD10" s="1"/>
  <c r="AB21"/>
  <c r="AD21" s="1"/>
  <c r="AB29"/>
  <c r="AD29" s="1"/>
  <c r="AB13"/>
  <c r="AD13" s="1"/>
  <c r="AB9"/>
  <c r="AD9" s="1"/>
  <c r="AB14"/>
  <c r="AD14" s="1"/>
  <c r="AB20"/>
  <c r="AD20" s="1"/>
  <c r="AB24"/>
  <c r="AD24" s="1"/>
  <c r="AB28"/>
  <c r="AD28" s="1"/>
  <c r="AB3"/>
  <c r="AD3" s="1"/>
  <c r="AB15"/>
  <c r="AD15" s="1"/>
  <c r="AB25"/>
  <c r="AD25" s="1"/>
  <c r="AB8"/>
  <c r="AD8" s="1"/>
  <c r="AB22"/>
  <c r="AD22" s="1"/>
  <c r="AB4"/>
  <c r="AD4" s="1"/>
  <c r="AB26"/>
  <c r="AD26" s="1"/>
  <c r="AB11"/>
  <c r="AD11" s="1"/>
  <c r="AB30"/>
  <c r="AD30" s="1"/>
  <c r="AB16"/>
  <c r="AD16" s="1"/>
  <c r="AB34"/>
  <c r="AD34" s="1"/>
  <c r="AB36"/>
  <c r="AD36" s="1"/>
  <c r="AB35"/>
  <c r="AD35" s="1"/>
  <c r="AB19"/>
  <c r="AD19" s="1"/>
  <c r="AB17"/>
  <c r="AD17" s="1"/>
  <c r="Z40"/>
  <c r="Z33"/>
  <c r="AB33" l="1"/>
  <c r="AD33" s="1"/>
  <c r="AB40"/>
  <c r="AD40" s="1"/>
  <c r="AC53"/>
  <c r="AE52" l="1"/>
  <c r="AF52"/>
  <c r="AE49"/>
  <c r="AF49"/>
  <c r="AF7"/>
  <c r="AF20"/>
  <c r="AF38"/>
  <c r="AF9"/>
  <c r="AF5"/>
  <c r="AF8"/>
  <c r="AF41"/>
  <c r="AF31"/>
  <c r="AF19"/>
  <c r="AF34"/>
  <c r="AF35"/>
  <c r="AE48"/>
  <c r="AF4"/>
  <c r="AF18"/>
  <c r="AF48"/>
  <c r="AF23"/>
  <c r="AF32"/>
  <c r="AF11"/>
  <c r="AF24"/>
  <c r="AF21"/>
  <c r="AF42"/>
  <c r="AF26"/>
  <c r="AB53"/>
  <c r="AH53" s="1"/>
  <c r="AF29"/>
  <c r="AF3"/>
  <c r="AF13"/>
  <c r="AF16"/>
  <c r="AF12"/>
  <c r="AF6"/>
  <c r="AF14"/>
  <c r="AF27"/>
  <c r="AF37"/>
  <c r="AF22"/>
  <c r="AF2"/>
  <c r="AF39"/>
  <c r="AF28"/>
  <c r="AF10"/>
  <c r="AF17"/>
  <c r="AF25"/>
  <c r="AF30"/>
  <c r="AF15"/>
  <c r="AF33"/>
  <c r="AF36"/>
  <c r="AF40"/>
  <c r="AF43"/>
  <c r="AE51"/>
  <c r="AF51"/>
  <c r="AE47"/>
  <c r="AF47"/>
  <c r="AE46"/>
  <c r="AF50"/>
  <c r="AE50"/>
  <c r="AF46"/>
  <c r="AE32"/>
  <c r="AE31"/>
  <c r="AE30"/>
  <c r="AE29"/>
  <c r="AE28"/>
  <c r="AE27"/>
  <c r="AE26"/>
  <c r="AE25"/>
  <c r="AE24"/>
  <c r="AE23"/>
  <c r="AE22"/>
  <c r="AE21"/>
  <c r="AE20"/>
  <c r="AE19"/>
  <c r="AE18"/>
  <c r="AE17"/>
  <c r="AE16"/>
  <c r="AE15"/>
  <c r="AE14"/>
  <c r="AE13"/>
  <c r="AE12"/>
  <c r="AE11"/>
  <c r="AE10"/>
  <c r="AE9"/>
  <c r="AE8"/>
  <c r="AE7"/>
  <c r="AE6"/>
  <c r="AE5"/>
  <c r="AE4"/>
  <c r="AE3"/>
  <c r="AE45"/>
  <c r="AF45"/>
  <c r="AE2"/>
  <c r="AE41"/>
  <c r="AE42"/>
  <c r="AE43"/>
  <c r="AE44"/>
  <c r="AE39"/>
  <c r="AE40"/>
  <c r="AE37"/>
  <c r="AE38"/>
  <c r="AG38" s="1"/>
  <c r="AE35"/>
  <c r="AE36"/>
  <c r="AE34"/>
  <c r="AE33"/>
  <c r="AF44"/>
  <c r="AG52" l="1"/>
  <c r="AG49"/>
  <c r="AG7"/>
  <c r="AG20"/>
  <c r="AG36"/>
  <c r="AG23"/>
  <c r="AG27"/>
  <c r="AG31"/>
  <c r="AG39"/>
  <c r="AG2"/>
  <c r="AG34"/>
  <c r="AG9"/>
  <c r="AG35"/>
  <c r="AG13"/>
  <c r="AG37"/>
  <c r="AG5"/>
  <c r="AG17"/>
  <c r="AG21"/>
  <c r="AG25"/>
  <c r="AG29"/>
  <c r="AG30"/>
  <c r="AG22"/>
  <c r="AG6"/>
  <c r="AG53"/>
  <c r="AG33"/>
  <c r="AG16"/>
  <c r="AG24"/>
  <c r="AG41"/>
  <c r="AG19"/>
  <c r="AG48"/>
  <c r="AG18"/>
  <c r="AG4"/>
  <c r="AG8"/>
  <c r="AG12"/>
  <c r="AG28"/>
  <c r="AG32"/>
  <c r="AG3"/>
  <c r="AG11"/>
  <c r="AG15"/>
  <c r="AG43"/>
  <c r="AG40"/>
  <c r="AG42"/>
  <c r="AG10"/>
  <c r="AG14"/>
  <c r="AG26"/>
  <c r="AG50"/>
  <c r="AG46"/>
  <c r="AG47"/>
  <c r="AG44"/>
  <c r="AG51"/>
  <c r="AG45"/>
</calcChain>
</file>

<file path=xl/comments1.xml><?xml version="1.0" encoding="utf-8"?>
<comments xmlns="http://schemas.openxmlformats.org/spreadsheetml/2006/main">
  <authors>
    <author>Engelbert</author>
    <author>Bruno</author>
  </authors>
  <commentList>
    <comment ref="C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A=AÇÃO
O=OPÇÃO</t>
        </r>
      </text>
    </comment>
    <comment ref="U53" authorId="1">
      <text>
        <r>
          <rPr>
            <b/>
            <sz val="9"/>
            <color indexed="81"/>
            <rFont val="Tahoma"/>
            <family val="2"/>
          </rPr>
          <t>COLOCAR O TOTAL APLICADO</t>
        </r>
      </text>
    </comment>
  </commentList>
</comments>
</file>

<file path=xl/sharedStrings.xml><?xml version="1.0" encoding="utf-8"?>
<sst xmlns="http://schemas.openxmlformats.org/spreadsheetml/2006/main" count="275" uniqueCount="71">
  <si>
    <t>ATIVO</t>
  </si>
  <si>
    <t>QTDE</t>
  </si>
  <si>
    <t>PREÇO</t>
  </si>
  <si>
    <t>[D/N]</t>
  </si>
  <si>
    <t>VALOR</t>
  </si>
  <si>
    <t>TX LIQUID</t>
  </si>
  <si>
    <t>EMOL</t>
  </si>
  <si>
    <t>CORR. BASE</t>
  </si>
  <si>
    <t>ISS</t>
  </si>
  <si>
    <t>OUTRAS</t>
  </si>
  <si>
    <t>LÍQUIDO</t>
  </si>
  <si>
    <t>MNDL4</t>
  </si>
  <si>
    <t>N</t>
  </si>
  <si>
    <t>INET3</t>
  </si>
  <si>
    <t>NORMAL</t>
  </si>
  <si>
    <t>DAYTRADE</t>
  </si>
  <si>
    <t>CORRETAGEM</t>
  </si>
  <si>
    <t>OUTROS</t>
  </si>
  <si>
    <t>IRRF N</t>
  </si>
  <si>
    <t>EMOL.</t>
  </si>
  <si>
    <t>LIQUID.</t>
  </si>
  <si>
    <t>D</t>
  </si>
  <si>
    <t>GOLL4</t>
  </si>
  <si>
    <t>MRFG3</t>
  </si>
  <si>
    <t>JBSS3</t>
  </si>
  <si>
    <t>GFSA3</t>
  </si>
  <si>
    <t>KLBN4</t>
  </si>
  <si>
    <t>RSID3</t>
  </si>
  <si>
    <t>AGEN11</t>
  </si>
  <si>
    <t>INEP4</t>
  </si>
  <si>
    <t>(vazio)</t>
  </si>
  <si>
    <t>Total Geral</t>
  </si>
  <si>
    <t>Total</t>
  </si>
  <si>
    <t>Soma de VALOR P/ OPERAÇÃO</t>
  </si>
  <si>
    <t>DATA</t>
  </si>
  <si>
    <t>VL LIQUID</t>
  </si>
  <si>
    <t>ID</t>
  </si>
  <si>
    <t>VALOR P/ OP</t>
  </si>
  <si>
    <t>MEDIO</t>
  </si>
  <si>
    <t>FJTA4</t>
  </si>
  <si>
    <t>IRRF</t>
  </si>
  <si>
    <t>MED CP</t>
  </si>
  <si>
    <t>MED VD</t>
  </si>
  <si>
    <t>PAR</t>
  </si>
  <si>
    <t>LUCRO MÊS</t>
  </si>
  <si>
    <t>SALDO</t>
  </si>
  <si>
    <t>VOLUME</t>
  </si>
  <si>
    <t>LUCRO D</t>
  </si>
  <si>
    <t>LUCRO OP</t>
  </si>
  <si>
    <t>D BASE</t>
  </si>
  <si>
    <t>TOTAL APLIC</t>
  </si>
  <si>
    <t xml:space="preserve"> R$ 6.765,77 </t>
  </si>
  <si>
    <t>BEEF3</t>
  </si>
  <si>
    <t>OPER/TIPO</t>
  </si>
  <si>
    <t>CC</t>
  </si>
  <si>
    <t>CV</t>
  </si>
  <si>
    <t>VV</t>
  </si>
  <si>
    <t>VC</t>
  </si>
  <si>
    <t>OPÇÕES</t>
  </si>
  <si>
    <t>REGISTRO</t>
  </si>
  <si>
    <t>[A/O]</t>
  </si>
  <si>
    <t>A</t>
  </si>
  <si>
    <t>% LUCRO</t>
  </si>
  <si>
    <t>IRRF OPÇÃO</t>
  </si>
  <si>
    <t>D LIQUID</t>
  </si>
  <si>
    <t>LUCRO N [A]</t>
  </si>
  <si>
    <t>PDGR3</t>
  </si>
  <si>
    <t>BBAS3</t>
  </si>
  <si>
    <t>BRKM5</t>
  </si>
  <si>
    <t>CORREÇÃO</t>
  </si>
  <si>
    <t>OGXP3</t>
  </si>
</sst>
</file>

<file path=xl/styles.xml><?xml version="1.0" encoding="utf-8"?>
<styleSheet xmlns="http://schemas.openxmlformats.org/spreadsheetml/2006/main">
  <numFmts count="6">
    <numFmt numFmtId="164" formatCode="_-&quot;R$&quot;\ * #,##0.00_-;\-&quot;R$&quot;\ * #,##0.00_-;_-&quot;R$&quot;\ * &quot;-&quot;??_-;_-@_-"/>
    <numFmt numFmtId="165" formatCode="[$R$-416]\ #,##0.00;[Red]\-[$R$-416]\ #,##0.00"/>
    <numFmt numFmtId="166" formatCode="0.000%"/>
    <numFmt numFmtId="167" formatCode="0.0000%"/>
    <numFmt numFmtId="168" formatCode="d/m/yy;@"/>
    <numFmt numFmtId="169" formatCode="0.000"/>
  </numFmts>
  <fonts count="12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scheme val="minor"/>
    </font>
    <font>
      <sz val="8"/>
      <color rgb="FF00B050"/>
      <name val="Calibri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1" xfId="0" applyFont="1" applyBorder="1"/>
    <xf numFmtId="166" fontId="1" fillId="0" borderId="0" xfId="0" applyNumberFormat="1" applyFont="1"/>
    <xf numFmtId="167" fontId="1" fillId="0" borderId="0" xfId="0" applyNumberFormat="1" applyFont="1"/>
    <xf numFmtId="10" fontId="1" fillId="0" borderId="0" xfId="0" applyNumberFormat="1" applyFont="1"/>
    <xf numFmtId="0" fontId="0" fillId="0" borderId="2" xfId="0" applyBorder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3" fillId="0" borderId="0" xfId="0" applyFont="1"/>
    <xf numFmtId="2" fontId="3" fillId="0" borderId="0" xfId="0" applyNumberFormat="1" applyFont="1"/>
    <xf numFmtId="165" fontId="3" fillId="0" borderId="0" xfId="0" applyNumberFormat="1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3" fillId="0" borderId="0" xfId="0" applyNumberFormat="1" applyFont="1" applyAlignment="1"/>
    <xf numFmtId="168" fontId="3" fillId="0" borderId="0" xfId="0" applyNumberFormat="1" applyFont="1" applyAlignment="1"/>
    <xf numFmtId="164" fontId="3" fillId="0" borderId="0" xfId="0" applyNumberFormat="1" applyFont="1" applyAlignment="1"/>
    <xf numFmtId="169" fontId="3" fillId="0" borderId="0" xfId="0" applyNumberFormat="1" applyFont="1" applyAlignment="1"/>
    <xf numFmtId="164" fontId="1" fillId="0" borderId="0" xfId="1" applyFont="1"/>
    <xf numFmtId="0" fontId="2" fillId="0" borderId="0" xfId="0" applyFont="1"/>
    <xf numFmtId="14" fontId="3" fillId="0" borderId="0" xfId="0" applyNumberFormat="1" applyFont="1"/>
    <xf numFmtId="10" fontId="3" fillId="0" borderId="0" xfId="2" applyNumberFormat="1" applyFont="1" applyAlignment="1"/>
    <xf numFmtId="164" fontId="3" fillId="0" borderId="0" xfId="1" applyFont="1" applyAlignment="1"/>
    <xf numFmtId="0" fontId="8" fillId="0" borderId="0" xfId="0" applyNumberFormat="1" applyFont="1" applyAlignment="1"/>
    <xf numFmtId="168" fontId="8" fillId="0" borderId="0" xfId="0" applyNumberFormat="1" applyFont="1" applyAlignment="1"/>
    <xf numFmtId="164" fontId="8" fillId="0" borderId="0" xfId="0" applyNumberFormat="1" applyFont="1" applyAlignment="1"/>
    <xf numFmtId="169" fontId="8" fillId="0" borderId="0" xfId="0" applyNumberFormat="1" applyFont="1" applyAlignment="1"/>
    <xf numFmtId="164" fontId="8" fillId="0" borderId="0" xfId="1" applyNumberFormat="1" applyFont="1" applyAlignment="1"/>
    <xf numFmtId="10" fontId="8" fillId="0" borderId="0" xfId="2" applyNumberFormat="1" applyFont="1" applyAlignment="1"/>
    <xf numFmtId="164" fontId="3" fillId="0" borderId="0" xfId="1" applyNumberFormat="1" applyFont="1" applyAlignment="1"/>
    <xf numFmtId="0" fontId="9" fillId="0" borderId="0" xfId="0" applyNumberFormat="1" applyFont="1" applyAlignment="1"/>
    <xf numFmtId="168" fontId="9" fillId="0" borderId="0" xfId="0" applyNumberFormat="1" applyFont="1" applyAlignment="1"/>
    <xf numFmtId="164" fontId="9" fillId="0" borderId="0" xfId="0" applyNumberFormat="1" applyFont="1" applyAlignment="1"/>
    <xf numFmtId="169" fontId="9" fillId="0" borderId="0" xfId="0" applyNumberFormat="1" applyFont="1" applyAlignment="1"/>
    <xf numFmtId="164" fontId="9" fillId="0" borderId="0" xfId="1" applyNumberFormat="1" applyFont="1" applyAlignment="1"/>
    <xf numFmtId="10" fontId="9" fillId="0" borderId="0" xfId="2" applyNumberFormat="1" applyFont="1" applyAlignment="1"/>
    <xf numFmtId="164" fontId="4" fillId="0" borderId="0" xfId="1" applyFont="1" applyAlignment="1">
      <alignment horizontal="left"/>
    </xf>
    <xf numFmtId="164" fontId="8" fillId="0" borderId="0" xfId="1" applyFont="1" applyAlignment="1"/>
    <xf numFmtId="164" fontId="9" fillId="0" borderId="0" xfId="1" applyFont="1" applyAlignment="1"/>
    <xf numFmtId="164" fontId="10" fillId="0" borderId="0" xfId="1" applyFont="1" applyAlignment="1"/>
    <xf numFmtId="164" fontId="3" fillId="0" borderId="0" xfId="1" applyFont="1"/>
    <xf numFmtId="0" fontId="10" fillId="0" borderId="0" xfId="0" applyFont="1" applyAlignment="1"/>
    <xf numFmtId="164" fontId="10" fillId="0" borderId="0" xfId="0" applyNumberFormat="1" applyFont="1" applyAlignment="1"/>
    <xf numFmtId="10" fontId="10" fillId="0" borderId="0" xfId="0" applyNumberFormat="1" applyFont="1" applyAlignment="1"/>
    <xf numFmtId="10" fontId="11" fillId="0" borderId="0" xfId="0" applyNumberFormat="1" applyFont="1" applyAlignment="1"/>
    <xf numFmtId="0" fontId="10" fillId="0" borderId="0" xfId="0" applyNumberFormat="1" applyFont="1" applyAlignment="1"/>
    <xf numFmtId="168" fontId="10" fillId="0" borderId="0" xfId="0" applyNumberFormat="1" applyFont="1" applyAlignment="1"/>
    <xf numFmtId="169" fontId="10" fillId="0" borderId="0" xfId="0" applyNumberFormat="1" applyFont="1" applyAlignment="1"/>
    <xf numFmtId="164" fontId="10" fillId="0" borderId="0" xfId="1" applyNumberFormat="1" applyFont="1" applyAlignment="1"/>
    <xf numFmtId="10" fontId="10" fillId="0" borderId="0" xfId="2" applyNumberFormat="1" applyFont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71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B050"/>
        <name val="Calibri"/>
        <scheme val="minor"/>
      </font>
      <numFmt numFmtId="14" formatCode="0.00%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uno" refreshedDate="40969.946527199078" createdVersion="1" refreshedVersion="4" recordCount="28" upgradeOnRefresh="1">
  <cacheSource type="worksheet">
    <worksheetSource ref="A1:R65558" sheet="Planilha1"/>
  </cacheSource>
  <cacheFields count="18">
    <cacheField name="Nº NOTA" numFmtId="0">
      <sharedItems containsString="0" containsBlank="1" containsNumber="1" containsInteger="1" minValue="2763455" maxValue="3002965"/>
    </cacheField>
    <cacheField name="ATIVO" numFmtId="0">
      <sharedItems containsBlank="1" count="11">
        <s v="GOLL4"/>
        <s v="MRFG3"/>
        <s v="JBSS3"/>
        <s v="GFSA3"/>
        <s v="KLBN4"/>
        <s v="RSID3"/>
        <s v="MNDL4"/>
        <s v="AGEN11"/>
        <s v="INEP4"/>
        <s v="INET3"/>
        <m/>
      </sharedItems>
    </cacheField>
    <cacheField name="[C/V]" numFmtId="0">
      <sharedItems containsBlank="1"/>
    </cacheField>
    <cacheField name="DATA" numFmtId="0">
      <sharedItems containsNonDate="0" containsDate="1" containsString="0" containsBlank="1" minDate="2011-12-05T00:00:00" maxDate="2012-03-06T00:00:00"/>
    </cacheField>
    <cacheField name="QTDE" numFmtId="0">
      <sharedItems containsString="0" containsBlank="1" containsNumber="1" containsInteger="1" minValue="100" maxValue="3700"/>
    </cacheField>
    <cacheField name="PREÇO" numFmtId="0">
      <sharedItems containsString="0" containsBlank="1" containsNumber="1" minValue="0.17" maxValue="16"/>
    </cacheField>
    <cacheField name="[D/N]" numFmtId="0">
      <sharedItems containsBlank="1"/>
    </cacheField>
    <cacheField name="VALOR" numFmtId="0">
      <sharedItems containsString="0" containsBlank="1" containsNumber="1" minValue="152" maxValue="2829"/>
    </cacheField>
    <cacheField name="VL LÍQUIDO" numFmtId="0">
      <sharedItems containsString="0" containsBlank="1" containsNumber="1" minValue="-3818" maxValue="3823.9999999999995"/>
    </cacheField>
    <cacheField name="TX LIQUID" numFmtId="0">
      <sharedItems containsString="0" containsBlank="1" containsNumber="1" minValue="0.04" maxValue="1.33"/>
    </cacheField>
    <cacheField name="EMOL" numFmtId="0">
      <sharedItems containsString="0" containsBlank="1" containsNumber="1" minValue="0.01" maxValue="0.34"/>
    </cacheField>
    <cacheField name="CORR. BASE" numFmtId="0">
      <sharedItems containsString="0" containsBlank="1" containsNumber="1" minValue="14.9" maxValue="44.7"/>
    </cacheField>
    <cacheField name="ISS" numFmtId="0">
      <sharedItems containsString="0" containsBlank="1" containsNumber="1" minValue="0.28999999999999998" maxValue="0.89"/>
    </cacheField>
    <cacheField name="OUTRAS TMP" numFmtId="0">
      <sharedItems containsString="0" containsBlank="1" containsNumber="1" minValue="0.57999999999999996" maxValue="0.57999999999999996"/>
    </cacheField>
    <cacheField name="OUTRAS" numFmtId="0">
      <sharedItems containsString="0" containsBlank="1" containsNumber="1" minValue="0.57999999999999996" maxValue="1.7399999999999998"/>
    </cacheField>
    <cacheField name="LÍQUIDO" numFmtId="0">
      <sharedItems containsString="0" containsBlank="1" containsNumber="1" minValue="-3850.8500000000004" maxValue="3791.139999999999"/>
    </cacheField>
    <cacheField name="VALOR P/ OPERAÇÃO" numFmtId="0">
      <sharedItems containsString="0" containsBlank="1" containsNumber="1" minValue="-2845.73" maxValue="2695.31"/>
    </cacheField>
    <cacheField name="SALDO" numFmtId="0">
      <sharedItems containsString="0" containsBlank="1" containsNumber="1" minValue="-4873.55" maxValue="481.529999999999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n v="2763455"/>
    <x v="0"/>
    <s v="C"/>
    <d v="2011-12-05T00:00:00"/>
    <n v="100"/>
    <n v="13.62"/>
    <s v="N"/>
    <n v="1362"/>
    <n v="-1362"/>
    <n v="0.37"/>
    <n v="0.09"/>
    <n v="14.9"/>
    <n v="0.28999999999999998"/>
    <n v="0.57999999999999996"/>
    <n v="0.57999999999999996"/>
    <n v="-1378.2299999999998"/>
    <n v="-1378.2299999999998"/>
    <n v="-1378.2299999999998"/>
  </r>
  <r>
    <n v="2779377"/>
    <x v="1"/>
    <s v="C"/>
    <d v="2011-12-09T00:00:00"/>
    <n v="100"/>
    <n v="8.4499999999999993"/>
    <s v="N"/>
    <n v="844.99999999999989"/>
    <n v="-844.99999999999989"/>
    <n v="0.23"/>
    <n v="0.05"/>
    <n v="14.9"/>
    <n v="0.28999999999999998"/>
    <n v="0.57999999999999996"/>
    <n v="0.57999999999999996"/>
    <n v="-861.04999999999984"/>
    <n v="-861.04999999999984"/>
    <n v="-2239.2799999999997"/>
  </r>
  <r>
    <n v="2783172"/>
    <x v="0"/>
    <s v="V"/>
    <d v="2011-12-12T00:00:00"/>
    <n v="100"/>
    <n v="16"/>
    <s v="N"/>
    <n v="1600"/>
    <n v="1600"/>
    <n v="0.44"/>
    <n v="0.11"/>
    <n v="14.9"/>
    <n v="0.28999999999999998"/>
    <n v="0.57999999999999996"/>
    <n v="0.57999999999999996"/>
    <n v="1583.68"/>
    <n v="1583.68"/>
    <n v="-655.59999999999968"/>
  </r>
  <r>
    <n v="2797072"/>
    <x v="2"/>
    <s v="C"/>
    <d v="2011-12-16T00:00:00"/>
    <n v="200"/>
    <n v="5.66"/>
    <s v="D"/>
    <n v="1132"/>
    <n v="-1132"/>
    <n v="0.2"/>
    <n v="7.0000000000000007E-2"/>
    <n v="14.9"/>
    <n v="0.28999999999999998"/>
    <n v="0.57999999999999996"/>
    <n v="0.57999999999999996"/>
    <n v="-1148.04"/>
    <n v="-1148.04"/>
    <n v="-1803.6399999999996"/>
  </r>
  <r>
    <n v="2797072"/>
    <x v="2"/>
    <s v="V"/>
    <d v="2011-12-16T00:00:00"/>
    <n v="200"/>
    <n v="5.64"/>
    <s v="D"/>
    <n v="1128"/>
    <n v="-4"/>
    <n v="0.4"/>
    <n v="0.15"/>
    <n v="29.8"/>
    <n v="0.59"/>
    <n v="0.57999999999999996"/>
    <n v="1.1599999999999999"/>
    <n v="-36.1"/>
    <n v="1111.94"/>
    <n v="-691.69999999999959"/>
  </r>
  <r>
    <n v="2797072"/>
    <x v="2"/>
    <s v="C"/>
    <d v="2011-12-16T00:00:00"/>
    <n v="200"/>
    <n v="5.65"/>
    <s v="N"/>
    <n v="1130"/>
    <n v="-1134"/>
    <n v="0.71"/>
    <n v="0.23"/>
    <n v="44.7"/>
    <n v="0.89"/>
    <n v="0.57999999999999996"/>
    <n v="1.7399999999999998"/>
    <n v="-1182.2700000000002"/>
    <n v="-1146.1700000000003"/>
    <n v="-1837.87"/>
  </r>
  <r>
    <n v="2815630"/>
    <x v="3"/>
    <s v="V"/>
    <d v="2011-12-23T00:00:00"/>
    <n v="200"/>
    <n v="4.2699999999999996"/>
    <s v="N"/>
    <n v="853.99999999999989"/>
    <n v="853.99999999999989"/>
    <n v="0.23"/>
    <n v="0.05"/>
    <n v="14.9"/>
    <n v="0.28999999999999998"/>
    <n v="0.57999999999999996"/>
    <n v="0.57999999999999996"/>
    <n v="837.94999999999993"/>
    <n v="837.94999999999993"/>
    <n v="-999.92"/>
  </r>
  <r>
    <n v="2825056"/>
    <x v="4"/>
    <s v="C"/>
    <d v="2011-12-28T00:00:00"/>
    <n v="300"/>
    <n v="7.86"/>
    <s v="N"/>
    <n v="2358"/>
    <n v="-2358"/>
    <n v="0.64"/>
    <n v="0.16"/>
    <n v="14.9"/>
    <n v="0.28999999999999998"/>
    <n v="0.57999999999999996"/>
    <n v="0.57999999999999996"/>
    <n v="-2374.5699999999997"/>
    <n v="-2374.5699999999997"/>
    <n v="-3374.49"/>
  </r>
  <r>
    <n v="2826799"/>
    <x v="2"/>
    <s v="V"/>
    <d v="2011-12-29T00:00:00"/>
    <n v="100"/>
    <n v="6.9"/>
    <s v="N"/>
    <n v="690"/>
    <n v="690"/>
    <n v="0.18"/>
    <n v="0.04"/>
    <n v="14.9"/>
    <n v="0.28999999999999998"/>
    <n v="0.57999999999999996"/>
    <n v="0.57999999999999996"/>
    <n v="674.0100000000001"/>
    <n v="674.0100000000001"/>
    <n v="-2700.4799999999996"/>
  </r>
  <r>
    <n v="2836312"/>
    <x v="2"/>
    <s v="V"/>
    <d v="2012-01-05T00:00:00"/>
    <n v="100"/>
    <n v="5.83"/>
    <s v="N"/>
    <n v="583"/>
    <n v="583"/>
    <n v="0.16"/>
    <n v="0.04"/>
    <n v="14.9"/>
    <n v="0.28999999999999998"/>
    <n v="0.57999999999999996"/>
    <n v="0.57999999999999996"/>
    <n v="567.03000000000009"/>
    <n v="567.03000000000009"/>
    <n v="-2133.4499999999994"/>
  </r>
  <r>
    <n v="2840144"/>
    <x v="2"/>
    <s v="C"/>
    <d v="2012-01-06T00:00:00"/>
    <n v="200"/>
    <n v="5.8"/>
    <s v="N"/>
    <n v="1160"/>
    <n v="-1160"/>
    <n v="0.31"/>
    <n v="0.08"/>
    <n v="14.9"/>
    <n v="0.28999999999999998"/>
    <n v="0.57999999999999996"/>
    <n v="0.57999999999999996"/>
    <n v="-1176.1599999999999"/>
    <n v="-1176.1599999999999"/>
    <n v="-3309.6099999999992"/>
  </r>
  <r>
    <n v="2864808"/>
    <x v="5"/>
    <s v="V"/>
    <d v="2012-01-17T00:00:00"/>
    <n v="300"/>
    <n v="9.0399999999999991"/>
    <s v="N"/>
    <n v="2711.9999999999995"/>
    <n v="2711.9999999999995"/>
    <n v="0.74"/>
    <n v="0.18"/>
    <n v="14.9"/>
    <n v="0.28999999999999998"/>
    <n v="0.57999999999999996"/>
    <n v="0.57999999999999996"/>
    <n v="2695.31"/>
    <n v="2695.31"/>
    <n v="-614.29999999999927"/>
  </r>
  <r>
    <n v="2864808"/>
    <x v="2"/>
    <s v="V"/>
    <d v="2012-01-17T00:00:00"/>
    <n v="200"/>
    <n v="5.56"/>
    <s v="N"/>
    <n v="1112"/>
    <n v="3823.9999999999995"/>
    <n v="1.05"/>
    <n v="0.26"/>
    <n v="29.8"/>
    <n v="0.59"/>
    <n v="0.57999999999999996"/>
    <n v="1.1599999999999999"/>
    <n v="3791.139999999999"/>
    <n v="1095.829999999999"/>
    <n v="481.52999999999975"/>
  </r>
  <r>
    <n v="2886886"/>
    <x v="6"/>
    <s v="C"/>
    <d v="2012-01-24T00:00:00"/>
    <n v="2000"/>
    <n v="0.5"/>
    <s v="N"/>
    <n v="1000"/>
    <n v="-1000"/>
    <n v="0.27"/>
    <n v="7.0000000000000007E-2"/>
    <n v="14.9"/>
    <n v="0.28999999999999998"/>
    <n v="0.57999999999999996"/>
    <n v="0.57999999999999996"/>
    <n v="-1016.11"/>
    <n v="-1016.11"/>
    <n v="-534.58000000000027"/>
  </r>
  <r>
    <n v="2899138"/>
    <x v="1"/>
    <s v="V"/>
    <d v="2012-01-30T00:00:00"/>
    <n v="100"/>
    <n v="7.89"/>
    <s v="N"/>
    <n v="789"/>
    <n v="789"/>
    <n v="0.21"/>
    <n v="0.05"/>
    <n v="14.9"/>
    <n v="0.28999999999999998"/>
    <n v="0.57999999999999996"/>
    <n v="0.57999999999999996"/>
    <n v="772.97"/>
    <n v="772.97"/>
    <n v="238.38999999999976"/>
  </r>
  <r>
    <n v="2904206"/>
    <x v="5"/>
    <s v="C"/>
    <d v="2012-01-31T00:00:00"/>
    <n v="300"/>
    <n v="9.43"/>
    <s v="N"/>
    <n v="2829"/>
    <n v="-2829"/>
    <n v="0.77"/>
    <n v="0.19"/>
    <n v="14.9"/>
    <n v="0.28999999999999998"/>
    <n v="0.57999999999999996"/>
    <n v="0.57999999999999996"/>
    <n v="-2845.73"/>
    <n v="-2845.73"/>
    <n v="-2607.34"/>
  </r>
  <r>
    <n v="2904206"/>
    <x v="7"/>
    <s v="C"/>
    <d v="2012-01-31T00:00:00"/>
    <n v="2300"/>
    <n v="0.43"/>
    <s v="N"/>
    <n v="989"/>
    <n v="-3818"/>
    <n v="1.04"/>
    <n v="0.26"/>
    <n v="29.8"/>
    <n v="0.59"/>
    <n v="0.57999999999999996"/>
    <n v="1.1599999999999999"/>
    <n v="-3850.8500000000004"/>
    <n v="-1005.1200000000003"/>
    <n v="-3612.4600000000005"/>
  </r>
  <r>
    <n v="2916301"/>
    <x v="3"/>
    <s v="C"/>
    <d v="2012-02-03T00:00:00"/>
    <n v="200"/>
    <n v="4.76"/>
    <s v="N"/>
    <n v="952"/>
    <n v="-952"/>
    <n v="0.26"/>
    <n v="0.06"/>
    <n v="14.9"/>
    <n v="0.28999999999999998"/>
    <n v="0.57999999999999996"/>
    <n v="0.57999999999999996"/>
    <n v="-968.08999999999992"/>
    <n v="-968.08999999999992"/>
    <n v="-4580.55"/>
  </r>
  <r>
    <n v="2935127"/>
    <x v="4"/>
    <s v="V"/>
    <d v="2012-02-09T00:00:00"/>
    <n v="300"/>
    <n v="7.7"/>
    <s v="N"/>
    <n v="2310"/>
    <n v="2310"/>
    <n v="0.63"/>
    <n v="0.16"/>
    <n v="14.9"/>
    <n v="0.28999999999999998"/>
    <n v="0.57999999999999996"/>
    <n v="0.57999999999999996"/>
    <n v="2293.44"/>
    <n v="2293.44"/>
    <n v="-2287.11"/>
  </r>
  <r>
    <n v="2935127"/>
    <x v="7"/>
    <s v="C"/>
    <d v="2012-02-09T00:00:00"/>
    <n v="3700"/>
    <n v="0.37"/>
    <s v="N"/>
    <n v="1369"/>
    <n v="941"/>
    <n v="1.01"/>
    <n v="0.25"/>
    <n v="29.8"/>
    <n v="0.59"/>
    <n v="0.57999999999999996"/>
    <n v="1.1599999999999999"/>
    <n v="908.19"/>
    <n v="-1385.25"/>
    <n v="-3672.36"/>
  </r>
  <r>
    <n v="2935127"/>
    <x v="8"/>
    <s v="C"/>
    <d v="2012-02-09T00:00:00"/>
    <n v="500"/>
    <n v="2.37"/>
    <s v="N"/>
    <n v="1185"/>
    <n v="-244"/>
    <n v="1.33"/>
    <n v="0.34"/>
    <n v="44.7"/>
    <n v="0.89"/>
    <n v="0.57999999999999996"/>
    <n v="1.7399999999999998"/>
    <n v="-293"/>
    <n v="-1201.19"/>
    <n v="-4873.55"/>
  </r>
  <r>
    <n v="2948844"/>
    <x v="6"/>
    <s v="V"/>
    <d v="2012-02-14T00:00:00"/>
    <n v="1600"/>
    <n v="0.4"/>
    <s v="N"/>
    <n v="640"/>
    <n v="640"/>
    <n v="0.17"/>
    <n v="0.04"/>
    <n v="14.9"/>
    <n v="0.28999999999999998"/>
    <n v="0.57999999999999996"/>
    <n v="0.57999999999999996"/>
    <n v="624.0200000000001"/>
    <n v="624.0200000000001"/>
    <n v="-4249.53"/>
  </r>
  <r>
    <n v="2948844"/>
    <x v="9"/>
    <s v="C"/>
    <d v="2012-02-14T00:00:00"/>
    <n v="3000"/>
    <n v="0.2"/>
    <s v="N"/>
    <n v="600"/>
    <n v="40"/>
    <n v="0.34"/>
    <n v="0.08"/>
    <n v="29.8"/>
    <n v="0.59"/>
    <n v="0.57999999999999996"/>
    <n v="1.1599999999999999"/>
    <n v="8.0299999999999976"/>
    <n v="-615.99000000000012"/>
    <n v="-4865.5199999999995"/>
  </r>
  <r>
    <n v="2985169"/>
    <x v="6"/>
    <s v="V"/>
    <d v="2012-02-28T00:00:00"/>
    <n v="400"/>
    <n v="0.38"/>
    <s v="N"/>
    <n v="152"/>
    <n v="152"/>
    <n v="0.04"/>
    <n v="0.01"/>
    <n v="14.9"/>
    <n v="0.28999999999999998"/>
    <n v="0.57999999999999996"/>
    <n v="0.57999999999999996"/>
    <n v="136.18"/>
    <n v="136.18"/>
    <n v="-4729.3399999999992"/>
  </r>
  <r>
    <n v="2998380"/>
    <x v="9"/>
    <s v="V"/>
    <d v="2012-03-02T00:00:00"/>
    <n v="3000"/>
    <n v="0.17"/>
    <s v="N"/>
    <n v="510.00000000000006"/>
    <n v="510.00000000000006"/>
    <n v="0.14000000000000001"/>
    <n v="0.03"/>
    <n v="14.9"/>
    <n v="0.28999999999999998"/>
    <n v="0.57999999999999996"/>
    <n v="0.57999999999999996"/>
    <n v="494.06000000000012"/>
    <n v="494.06000000000012"/>
    <n v="-4235.2799999999988"/>
  </r>
  <r>
    <n v="2998380"/>
    <x v="7"/>
    <s v="V"/>
    <d v="2012-03-02T00:00:00"/>
    <n v="3000"/>
    <n v="0.27"/>
    <s v="N"/>
    <n v="810"/>
    <n v="1320"/>
    <n v="0.36"/>
    <n v="0.09"/>
    <n v="29.8"/>
    <n v="0.59"/>
    <n v="0.57999999999999996"/>
    <n v="1.1599999999999999"/>
    <n v="1288.0000000000002"/>
    <n v="793.94"/>
    <n v="-3441.3399999999988"/>
  </r>
  <r>
    <n v="3002965"/>
    <x v="7"/>
    <s v="V"/>
    <d v="2012-03-05T00:00:00"/>
    <n v="3000"/>
    <n v="0.25"/>
    <s v="N"/>
    <n v="750"/>
    <n v="750"/>
    <n v="0.2"/>
    <n v="0.05"/>
    <n v="14.9"/>
    <n v="0.28999999999999998"/>
    <n v="0.57999999999999996"/>
    <n v="0.57999999999999996"/>
    <n v="733.98"/>
    <n v="733.98"/>
    <n v="-2707.3599999999988"/>
  </r>
  <r>
    <m/>
    <x v="10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0" dataOnRows="1" applyNumberFormats="0" applyBorderFormats="0" applyFontFormats="0" applyPatternFormats="0" applyAlignmentFormats="0" applyWidthHeightFormats="1" dataCaption="Dados" updatedVersion="4" showMemberPropertyTips="0" useAutoFormatting="1" itemPrintTitles="1" createdVersion="1" indent="0" compact="0" compactData="0" gridDropZones="1">
  <location ref="A3:B16" firstHeaderRow="2" firstDataRow="2" firstDataCol="1"/>
  <pivotFields count="18">
    <pivotField compact="0" outline="0" subtotalTop="0" showAll="0" includeNewItemsInFilter="1"/>
    <pivotField axis="axisRow" compact="0" outline="0" subtotalTop="0" showAll="0" includeNewItemsInFilter="1">
      <items count="12">
        <item x="7"/>
        <item x="3"/>
        <item x="0"/>
        <item x="8"/>
        <item x="9"/>
        <item x="2"/>
        <item x="4"/>
        <item x="6"/>
        <item x="1"/>
        <item x="5"/>
        <item x="1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oma de VALOR P/ OPERAÇÃO" fld="16" baseField="1" baseItem="3"/>
  </dataFields>
  <pivotTableStyleInfo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NC" displayName="NC" ref="A1:AH53" totalsRowCount="1" headerRowDxfId="70" dataDxfId="69" totalsRowDxfId="68">
  <autoFilter ref="A1:AH52">
    <filterColumn colId="6"/>
  </autoFilter>
  <sortState ref="A2:AH52">
    <sortCondition ref="D1:D52"/>
  </sortState>
  <tableColumns count="34">
    <tableColumn id="19" name="ID" totalsRowLabel="Total" dataDxfId="67" totalsRowDxfId="33"/>
    <tableColumn id="2" name="ATIVO" dataDxfId="66" totalsRowDxfId="32"/>
    <tableColumn id="3" name="OPER/TIPO" dataDxfId="65" totalsRowDxfId="31"/>
    <tableColumn id="4" name="DATA" dataDxfId="64" totalsRowDxfId="30"/>
    <tableColumn id="5" name="QTDE" dataDxfId="63" totalsRowDxfId="29"/>
    <tableColumn id="6" name="PREÇO" dataDxfId="62" totalsRowDxfId="28"/>
    <tableColumn id="33" name="CORREÇÃO" dataDxfId="61" totalsRowDxfId="27" dataCellStyle="Moeda"/>
    <tableColumn id="27" name="[A/O]" dataDxfId="60" totalsRowDxfId="26"/>
    <tableColumn id="7" name="[D/N]" dataDxfId="59" totalsRowDxfId="25"/>
    <tableColumn id="34" name="D LIQUID" dataDxfId="58" totalsRowDxfId="24">
      <calculatedColumnFormula>WORKDAY(NC[[#This Row],[DATA]],IF(['[A/O']]="A",3,1))</calculatedColumnFormula>
    </tableColumn>
    <tableColumn id="31" name="D BASE" dataDxfId="57" totalsRowDxfId="23">
      <calculatedColumnFormula>EOMONTH(NC[[#This Row],[D LIQUID]],0)</calculatedColumnFormula>
    </tableColumn>
    <tableColumn id="21" name="PAR" dataDxfId="56" totalsRowDxfId="22">
      <calculatedColumnFormula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calculatedColumnFormula>
    </tableColumn>
    <tableColumn id="8" name="VALOR" dataDxfId="55" totalsRowDxfId="21">
      <calculatedColumnFormula>[QTDE]*[PREÇO]+[CORREÇÃO]</calculatedColumnFormula>
    </tableColumn>
    <tableColumn id="9" name="VL LIQUID" dataDxfId="54" totalsRowDxfId="20">
      <calculatedColumnFormula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calculatedColumnFormula>
    </tableColumn>
    <tableColumn id="10" name="TX LIQUID" dataDxfId="53" totalsRowDxfId="19">
      <calculatedColumnFormula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calculatedColumnFormula>
    </tableColumn>
    <tableColumn id="11" name="EMOL" dataDxfId="52" totalsRowDxfId="18">
      <calculatedColumnFormula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calculatedColumnFormula>
    </tableColumn>
    <tableColumn id="28" name="REGISTRO" dataDxfId="51" totalsRowDxfId="17">
      <calculatedColumnFormula>TRUNC(SUMPRODUCT(N([DATA]=NC[[#This Row],[DATA]]),N([ID]&lt;=NC[[#This Row],[ID]]),N(['[A/O']]="O"),N(['[D/N']]="N"),[VALOR]*SETUP!$C$7)  +  SUMPRODUCT(N([DATA]=NC[[#This Row],[DATA]]),N([ID]&lt;=NC[[#This Row],[ID]]),N(['[A/O']]="O"),N(['[D/N']]="D"),[VALOR]*SETUP!$F$7),2)</calculatedColumnFormula>
    </tableColumn>
    <tableColumn id="12" name="CORR. BASE" dataDxfId="50" totalsRowDxfId="16">
      <calculatedColumnFormula>SETUP!$E$3*SUMPRODUCT(N([DATA]=NC[[#This Row],[DATA]]),N([ID]&lt;=NC[[#This Row],[ID]]))</calculatedColumnFormula>
    </tableColumn>
    <tableColumn id="13" name="ISS" dataDxfId="49" totalsRowDxfId="15">
      <calculatedColumnFormula>TRUNC([CORR. BASE]*SETUP!$F$3,2)</calculatedColumnFormula>
    </tableColumn>
    <tableColumn id="15" name="OUTRAS" dataDxfId="48" totalsRowDxfId="14">
      <calculatedColumnFormula>TRUNC([CORR. BASE]*SETUP!$G$3,2)</calculatedColumnFormula>
    </tableColumn>
    <tableColumn id="16" name="LÍQUIDO" totalsRowLabel=" R$ 6.765,77 " dataDxfId="47" totalsRowDxfId="13">
      <calculatedColumnFormula>[VL LIQUID]-[TX LIQUID]-[EMOL]-[REGISTRO]-[CORR. BASE]-[ISS]-[OUTRAS]</calculatedColumnFormula>
    </tableColumn>
    <tableColumn id="17" name="VALOR P/ OP" dataDxfId="46" totalsRowDxfId="12">
      <calculatedColumnFormula>[LÍQUIDO]-SUMPRODUCT(N([DATA]=NC[[#This Row],[DATA]]),N([ID]=(NC[[#This Row],[ID]]-1)),[LÍQUIDO])</calculatedColumnFormula>
    </tableColumn>
    <tableColumn id="18" name="MEDIO" dataDxfId="45" totalsRowDxfId="11">
      <calculatedColumnFormula>ABS(V2)/E2</calculatedColumnFormula>
    </tableColumn>
    <tableColumn id="20" name="IRRF" totalsRowFunction="sum" dataDxfId="44" totalsRowDxfId="10">
      <calculatedColumnFormula>TRUNC(IF(OR([OPER/TIPO]="CV",[OPER/TIPO]="VV"),     M2*SETUP!$H$3,     0),2)</calculatedColumnFormula>
    </tableColumn>
    <tableColumn id="24" name="SALDO" dataDxfId="43" totalsRowDxfId="9">
      <calculatedColumnFormula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calculatedColumnFormula>
    </tableColumn>
    <tableColumn id="22" name="MED CP" dataDxfId="42" totalsRowDxfId="8">
      <calculatedColumnFormula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calculatedColumnFormula>
    </tableColumn>
    <tableColumn id="23" name="MED VD" dataDxfId="41" totalsRowDxfId="7">
      <calculatedColumnFormula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calculatedColumnFormula>
    </tableColumn>
    <tableColumn id="25" name="LUCRO OP" totalsRowFunction="custom" dataDxfId="40" totalsRowDxfId="6">
      <calculatedColumnFormula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calculatedColumnFormula>
      <totalsRowFormula>SUBTOTAL(109,[LUCRO OP])-NC[[#Totals],[IRRF OPÇÃO]]</totalsRowFormula>
    </tableColumn>
    <tableColumn id="32" name="IRRF OPÇÃO" totalsRowFunction="sum" dataDxfId="39" totalsRowDxfId="5" dataCellStyle="Moeda">
      <calculatedColumnFormula>IF(['[A/O']]="O",[LUCRO OP]*0.15,0)</calculatedColumnFormula>
    </tableColumn>
    <tableColumn id="30" name="% LUCRO" dataDxfId="38" totalsRowDxfId="4" dataCellStyle="Porcentagem">
      <calculatedColumnFormula>[LUCRO OP]/ABS([VALOR P/ OP])</calculatedColumnFormula>
    </tableColumn>
    <tableColumn id="26" name="LUCRO N [A]" dataDxfId="37" totalsRowDxfId="3">
      <calculatedColumnFormula>SUMPRODUCT(N(YEAR([D LIQUID])=YEAR(NC[[#This Row],[D LIQUID]])),N(MONTH([D LIQUID])=MONTH(NC[[#This Row],[D LIQUID]])),N(['[D/N']]="N"),[LUCRO OP])</calculatedColumnFormula>
    </tableColumn>
    <tableColumn id="14" name="LUCRO D" dataDxfId="36" totalsRowDxfId="2">
      <calculatedColumnFormula>SUMPRODUCT(N(YEAR([D LIQUID])=YEAR(NC[[#This Row],[D LIQUID]])),N(MONTH([D LIQUID])=MONTH(NC[[#This Row],[D LIQUID]])),N(['[D/N']]="D"),[LUCRO OP])</calculatedColumnFormula>
    </tableColumn>
    <tableColumn id="29" name="LUCRO MÊS" totalsRowFunction="custom" dataDxfId="35" totalsRowDxfId="1">
      <calculatedColumnFormula>[LUCRO N '[A']]+[LUCRO D]</calculatedColumnFormula>
      <totalsRowFormula>NC[[#Totals],[LUCRO OP]]/NC[[#Totals],[LÍQUIDO]]</totalsRowFormula>
    </tableColumn>
    <tableColumn id="1" name="VOLUME" totalsRowFunction="custom" dataDxfId="34" totalsRowDxfId="0">
      <calculatedColumnFormula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calculatedColumnFormula>
      <totalsRowFormula>IF(NC[[#Totals],[LUCRO OP]]&lt;0,ABS(NC[[#Totals],[LUCRO OP]]/(NC[[#Totals],[LUCRO OP]]+NC[[#Totals],[LÍQUIDO]])),-NC[[#Totals],[LUCRO OP]]/(NC[[#Totals],[LUCRO OP]]+NC[[#Totals],[LÍQUIDO]]))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/>
  <dimension ref="A3:B16"/>
  <sheetViews>
    <sheetView workbookViewId="0">
      <selection activeCell="A14" sqref="A14"/>
    </sheetView>
  </sheetViews>
  <sheetFormatPr defaultRowHeight="12.75"/>
  <cols>
    <col min="1" max="1" width="29.42578125" customWidth="1"/>
    <col min="2" max="2" width="8.5703125" bestFit="1" customWidth="1"/>
    <col min="3" max="3" width="10.7109375" customWidth="1"/>
    <col min="4" max="6" width="10.7109375" bestFit="1" customWidth="1"/>
    <col min="7" max="7" width="10" customWidth="1"/>
    <col min="8" max="8" width="10" bestFit="1" customWidth="1"/>
  </cols>
  <sheetData>
    <row r="3" spans="1:2">
      <c r="A3" s="8" t="s">
        <v>33</v>
      </c>
      <c r="B3" s="11"/>
    </row>
    <row r="4" spans="1:2">
      <c r="A4" s="8" t="s">
        <v>0</v>
      </c>
      <c r="B4" s="11" t="s">
        <v>32</v>
      </c>
    </row>
    <row r="5" spans="1:2">
      <c r="A5" s="7" t="s">
        <v>28</v>
      </c>
      <c r="B5" s="12">
        <v>-862.45000000000027</v>
      </c>
    </row>
    <row r="6" spans="1:2">
      <c r="A6" s="9" t="s">
        <v>25</v>
      </c>
      <c r="B6" s="13">
        <v>-130.13999999999999</v>
      </c>
    </row>
    <row r="7" spans="1:2">
      <c r="A7" s="9" t="s">
        <v>22</v>
      </c>
      <c r="B7" s="13">
        <v>205.45000000000027</v>
      </c>
    </row>
    <row r="8" spans="1:2">
      <c r="A8" s="9" t="s">
        <v>29</v>
      </c>
      <c r="B8" s="13">
        <v>-1201.19</v>
      </c>
    </row>
    <row r="9" spans="1:2">
      <c r="A9" s="9" t="s">
        <v>13</v>
      </c>
      <c r="B9" s="13">
        <v>-121.93</v>
      </c>
    </row>
    <row r="10" spans="1:2">
      <c r="A10" s="9" t="s">
        <v>24</v>
      </c>
      <c r="B10" s="13">
        <v>-21.560000000000855</v>
      </c>
    </row>
    <row r="11" spans="1:2">
      <c r="A11" s="9" t="s">
        <v>26</v>
      </c>
      <c r="B11" s="13">
        <v>-81.129999999999654</v>
      </c>
    </row>
    <row r="12" spans="1:2">
      <c r="A12" s="9" t="s">
        <v>11</v>
      </c>
      <c r="B12" s="13">
        <v>-255.90999999999991</v>
      </c>
    </row>
    <row r="13" spans="1:2">
      <c r="A13" s="9" t="s">
        <v>23</v>
      </c>
      <c r="B13" s="13">
        <v>-88.079999999999814</v>
      </c>
    </row>
    <row r="14" spans="1:2">
      <c r="A14" s="9" t="s">
        <v>27</v>
      </c>
      <c r="B14" s="13">
        <v>-150.42000000000007</v>
      </c>
    </row>
    <row r="15" spans="1:2">
      <c r="A15" s="9" t="s">
        <v>30</v>
      </c>
      <c r="B15" s="13"/>
    </row>
    <row r="16" spans="1:2">
      <c r="A16" s="10" t="s">
        <v>31</v>
      </c>
      <c r="B16" s="14">
        <v>-2707.36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2"/>
  <dimension ref="A1:AH54"/>
  <sheetViews>
    <sheetView tabSelected="1" workbookViewId="0">
      <pane xSplit="19" ySplit="1" topLeftCell="T26" activePane="bottomRight" state="frozen"/>
      <selection pane="topRight" activeCell="T1" sqref="T1"/>
      <selection pane="bottomLeft" activeCell="A2" sqref="A2"/>
      <selection pane="bottomRight" activeCell="F53" sqref="F53"/>
    </sheetView>
  </sheetViews>
  <sheetFormatPr defaultColWidth="11.5703125" defaultRowHeight="11.25"/>
  <cols>
    <col min="1" max="1" width="4.7109375" style="15" bestFit="1" customWidth="1"/>
    <col min="2" max="2" width="7.42578125" style="15" bestFit="1" customWidth="1"/>
    <col min="3" max="3" width="10.28515625" style="15" bestFit="1" customWidth="1"/>
    <col min="4" max="4" width="8.140625" style="15" bestFit="1" customWidth="1"/>
    <col min="5" max="5" width="6.85546875" style="15" bestFit="1" customWidth="1"/>
    <col min="6" max="6" width="7.7109375" style="15" bestFit="1" customWidth="1"/>
    <col min="7" max="7" width="11.140625" style="47" bestFit="1" customWidth="1"/>
    <col min="8" max="8" width="7" style="15" bestFit="1" customWidth="1"/>
    <col min="9" max="9" width="9.140625" style="15" customWidth="1"/>
    <col min="10" max="10" width="7.85546875" style="15" hidden="1" customWidth="1"/>
    <col min="11" max="11" width="5.85546875" style="16" hidden="1" customWidth="1"/>
    <col min="12" max="12" width="9.85546875" style="15" hidden="1" customWidth="1"/>
    <col min="13" max="13" width="9.85546875" style="17" hidden="1" customWidth="1"/>
    <col min="14" max="14" width="10.85546875" style="15" hidden="1" customWidth="1"/>
    <col min="15" max="15" width="7" style="16" hidden="1" customWidth="1"/>
    <col min="16" max="16" width="9.42578125" style="16" hidden="1" customWidth="1"/>
    <col min="17" max="17" width="10.7109375" style="15" hidden="1" customWidth="1"/>
    <col min="18" max="18" width="6.85546875" style="15" hidden="1" customWidth="1"/>
    <col min="19" max="19" width="9.85546875" style="15" hidden="1" customWidth="1"/>
    <col min="20" max="20" width="10.7109375" style="15" hidden="1" customWidth="1"/>
    <col min="21" max="21" width="11.85546875" style="15" bestFit="1" customWidth="1"/>
    <col min="22" max="22" width="11.7109375" style="15" bestFit="1" customWidth="1"/>
    <col min="23" max="23" width="7.7109375" style="15" bestFit="1" customWidth="1"/>
    <col min="24" max="24" width="7.5703125" style="15" bestFit="1" customWidth="1"/>
    <col min="25" max="25" width="8.28515625" style="15" bestFit="1" customWidth="1"/>
    <col min="26" max="26" width="8.5703125" style="15" hidden="1" customWidth="1"/>
    <col min="27" max="27" width="10.7109375" style="15" hidden="1" customWidth="1"/>
    <col min="28" max="28" width="11.140625" style="15" customWidth="1"/>
    <col min="29" max="29" width="9" style="15" hidden="1" customWidth="1"/>
    <col min="30" max="30" width="10.85546875" style="15" bestFit="1" customWidth="1"/>
    <col min="31" max="31" width="9.85546875" style="15" bestFit="1" customWidth="1"/>
    <col min="32" max="32" width="11" style="15" bestFit="1" customWidth="1"/>
    <col min="33" max="16384" width="11.5703125" style="15"/>
  </cols>
  <sheetData>
    <row r="1" spans="1:34" s="18" customFormat="1">
      <c r="A1" s="18" t="s">
        <v>36</v>
      </c>
      <c r="B1" s="18" t="s">
        <v>0</v>
      </c>
      <c r="C1" s="18" t="s">
        <v>53</v>
      </c>
      <c r="D1" s="18" t="s">
        <v>34</v>
      </c>
      <c r="E1" s="18" t="s">
        <v>1</v>
      </c>
      <c r="F1" s="18" t="s">
        <v>2</v>
      </c>
      <c r="G1" s="43" t="s">
        <v>69</v>
      </c>
      <c r="H1" s="18" t="s">
        <v>60</v>
      </c>
      <c r="I1" s="18" t="s">
        <v>3</v>
      </c>
      <c r="J1" s="18" t="s">
        <v>64</v>
      </c>
      <c r="K1" s="18" t="s">
        <v>49</v>
      </c>
      <c r="L1" s="18" t="s">
        <v>43</v>
      </c>
      <c r="M1" s="18" t="s">
        <v>4</v>
      </c>
      <c r="N1" s="18" t="s">
        <v>35</v>
      </c>
      <c r="O1" s="19" t="s">
        <v>5</v>
      </c>
      <c r="P1" s="18" t="s">
        <v>6</v>
      </c>
      <c r="Q1" s="18" t="s">
        <v>59</v>
      </c>
      <c r="R1" s="20" t="s">
        <v>7</v>
      </c>
      <c r="S1" s="18" t="s">
        <v>8</v>
      </c>
      <c r="T1" s="20" t="s">
        <v>9</v>
      </c>
      <c r="U1" s="18" t="s">
        <v>10</v>
      </c>
      <c r="V1" s="18" t="s">
        <v>37</v>
      </c>
      <c r="W1" s="18" t="s">
        <v>38</v>
      </c>
      <c r="X1" s="18" t="s">
        <v>40</v>
      </c>
      <c r="Y1" s="18" t="s">
        <v>45</v>
      </c>
      <c r="Z1" s="18" t="s">
        <v>41</v>
      </c>
      <c r="AA1" s="18" t="s">
        <v>42</v>
      </c>
      <c r="AB1" s="18" t="s">
        <v>48</v>
      </c>
      <c r="AC1" s="18" t="s">
        <v>63</v>
      </c>
      <c r="AD1" s="18" t="s">
        <v>62</v>
      </c>
      <c r="AE1" s="18" t="s">
        <v>65</v>
      </c>
      <c r="AF1" s="18" t="s">
        <v>47</v>
      </c>
      <c r="AG1" s="18" t="s">
        <v>44</v>
      </c>
      <c r="AH1" s="18" t="s">
        <v>46</v>
      </c>
    </row>
    <row r="2" spans="1:34" s="21" customFormat="1">
      <c r="A2" s="21">
        <v>1</v>
      </c>
      <c r="B2" s="21" t="s">
        <v>22</v>
      </c>
      <c r="C2" s="21" t="s">
        <v>54</v>
      </c>
      <c r="D2" s="22">
        <v>40877</v>
      </c>
      <c r="E2" s="21">
        <v>100</v>
      </c>
      <c r="F2" s="23">
        <v>13.62</v>
      </c>
      <c r="G2" s="29">
        <v>0</v>
      </c>
      <c r="H2" s="23" t="s">
        <v>61</v>
      </c>
      <c r="I2" s="21" t="s">
        <v>12</v>
      </c>
      <c r="J2" s="22">
        <f>WORKDAY(NC[[#This Row],[DATA]],IF(['[A/O']]="A",3,1))</f>
        <v>40882</v>
      </c>
      <c r="K2" s="21">
        <f>EOMONTH(NC[[#This Row],[D LIQUID]],0)</f>
        <v>40908</v>
      </c>
      <c r="L2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2" s="23">
        <f>[QTDE]*[PREÇO]+[CORREÇÃO]</f>
        <v>1362</v>
      </c>
      <c r="N2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-1362</v>
      </c>
      <c r="O2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0.37</v>
      </c>
      <c r="P2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0.09</v>
      </c>
      <c r="Q2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2" s="23">
        <f>SETUP!$E$3*SUMPRODUCT(N([DATA]=NC[[#This Row],[DATA]]),N([ID]&lt;=NC[[#This Row],[ID]]))</f>
        <v>14.9</v>
      </c>
      <c r="S2" s="23">
        <f>TRUNC([CORR. BASE]*SETUP!$F$3,2)</f>
        <v>0.28999999999999998</v>
      </c>
      <c r="T2" s="23">
        <f>TRUNC([CORR. BASE]*SETUP!$G$3,2)</f>
        <v>0.57999999999999996</v>
      </c>
      <c r="U2" s="23">
        <f>[VL LIQUID]-[TX LIQUID]-[EMOL]-[REGISTRO]-[CORR. BASE]-[ISS]-[OUTRAS]</f>
        <v>-1378.2299999999998</v>
      </c>
      <c r="V2" s="23">
        <f>[LÍQUIDO]-SUMPRODUCT(N([DATA]=NC[[#This Row],[DATA]]),N([ID]=(NC[[#This Row],[ID]]-1)),[LÍQUIDO])</f>
        <v>-1378.2299999999998</v>
      </c>
      <c r="W2" s="23">
        <f t="shared" ref="W2:W33" si="0">ABS(V2)/E2</f>
        <v>13.782299999999998</v>
      </c>
      <c r="X2" s="23">
        <f>TRUNC(IF(OR([OPER/TIPO]="CV",[OPER/TIPO]="VV"),     M2*SETUP!$H$3,     0),2)</f>
        <v>0</v>
      </c>
      <c r="Y2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100</v>
      </c>
      <c r="Z2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13.782299999999998</v>
      </c>
      <c r="AA2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2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2" s="29">
        <f>IF(['[A/O']]="O",[LUCRO OP]*0.15,0)</f>
        <v>0</v>
      </c>
      <c r="AD2" s="28">
        <f>[LUCRO OP]/ABS([VALOR P/ OP])</f>
        <v>0</v>
      </c>
      <c r="AE2" s="23">
        <f>SUMPRODUCT(N(YEAR([D LIQUID])=YEAR(NC[[#This Row],[D LIQUID]])),N(MONTH([D LIQUID])=MONTH(NC[[#This Row],[D LIQUID]])),N(['[D/N']]="N"),[LUCRO OP])</f>
        <v>306.37500000000023</v>
      </c>
      <c r="AF2" s="23">
        <f>SUMPRODUCT(N(YEAR([D LIQUID])=YEAR(NC[[#This Row],[D LIQUID]])),N(MONTH([D LIQUID])=MONTH(NC[[#This Row],[D LIQUID]])),N(['[D/N']]="D"),[LUCRO OP])</f>
        <v>-36.1</v>
      </c>
      <c r="AG2" s="23">
        <f>[LUCRO N '[A']]+[LUCRO D]</f>
        <v>270.2750000000002</v>
      </c>
      <c r="AH2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3" spans="1:34" s="21" customFormat="1">
      <c r="A3" s="21">
        <v>2</v>
      </c>
      <c r="B3" s="21" t="s">
        <v>23</v>
      </c>
      <c r="C3" s="21" t="s">
        <v>54</v>
      </c>
      <c r="D3" s="22">
        <v>40883</v>
      </c>
      <c r="E3" s="21">
        <v>100</v>
      </c>
      <c r="F3" s="23">
        <v>8.4499999999999993</v>
      </c>
      <c r="G3" s="29">
        <v>0</v>
      </c>
      <c r="H3" s="23" t="s">
        <v>61</v>
      </c>
      <c r="I3" s="21" t="s">
        <v>12</v>
      </c>
      <c r="J3" s="22">
        <f>WORKDAY(NC[[#This Row],[DATA]],IF(['[A/O']]="A",3,1))</f>
        <v>40886</v>
      </c>
      <c r="K3" s="21">
        <f>EOMONTH(NC[[#This Row],[D LIQUID]],0)</f>
        <v>40908</v>
      </c>
      <c r="L3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3" s="23">
        <f>[QTDE]*[PREÇO]+[CORREÇÃO]</f>
        <v>844.99999999999989</v>
      </c>
      <c r="N3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-844.99999999999989</v>
      </c>
      <c r="O3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0.23</v>
      </c>
      <c r="P3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0.05</v>
      </c>
      <c r="Q3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3" s="23">
        <f>SETUP!$E$3*SUMPRODUCT(N([DATA]=NC[[#This Row],[DATA]]),N([ID]&lt;=NC[[#This Row],[ID]]))</f>
        <v>14.9</v>
      </c>
      <c r="S3" s="23">
        <f>TRUNC([CORR. BASE]*SETUP!$F$3,2)</f>
        <v>0.28999999999999998</v>
      </c>
      <c r="T3" s="23">
        <f>TRUNC([CORR. BASE]*SETUP!$G$3,2)</f>
        <v>0.57999999999999996</v>
      </c>
      <c r="U3" s="23">
        <f>[VL LIQUID]-[TX LIQUID]-[EMOL]-[REGISTRO]-[CORR. BASE]-[ISS]-[OUTRAS]</f>
        <v>-861.04999999999984</v>
      </c>
      <c r="V3" s="23">
        <f>[LÍQUIDO]-SUMPRODUCT(N([DATA]=NC[[#This Row],[DATA]]),N([ID]=(NC[[#This Row],[ID]]-1)),[LÍQUIDO])</f>
        <v>-861.04999999999984</v>
      </c>
      <c r="W3" s="23">
        <f t="shared" si="0"/>
        <v>8.6104999999999983</v>
      </c>
      <c r="X3" s="23">
        <f>TRUNC(IF(OR([OPER/TIPO]="CV",[OPER/TIPO]="VV"),     M3*SETUP!$H$3,     0),2)</f>
        <v>0</v>
      </c>
      <c r="Y3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100</v>
      </c>
      <c r="Z3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8.6104999999999983</v>
      </c>
      <c r="AA3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3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3" s="29">
        <f>IF(['[A/O']]="O",[LUCRO OP]*0.15,0)</f>
        <v>0</v>
      </c>
      <c r="AD3" s="28">
        <f>[LUCRO OP]/ABS([VALOR P/ OP])</f>
        <v>0</v>
      </c>
      <c r="AE3" s="23">
        <f>SUMPRODUCT(N(YEAR([D LIQUID])=YEAR(NC[[#This Row],[D LIQUID]])),N(MONTH([D LIQUID])=MONTH(NC[[#This Row],[D LIQUID]])),N(['[D/N']]="N"),[LUCRO OP])</f>
        <v>306.37500000000023</v>
      </c>
      <c r="AF3" s="23">
        <f>SUMPRODUCT(N(YEAR([D LIQUID])=YEAR(NC[[#This Row],[D LIQUID]])),N(MONTH([D LIQUID])=MONTH(NC[[#This Row],[D LIQUID]])),N(['[D/N']]="D"),[LUCRO OP])</f>
        <v>-36.1</v>
      </c>
      <c r="AG3" s="23">
        <f>[LUCRO N '[A']]+[LUCRO D]</f>
        <v>270.2750000000002</v>
      </c>
      <c r="AH3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4" spans="1:34" s="21" customFormat="1">
      <c r="A4" s="21">
        <v>3</v>
      </c>
      <c r="B4" s="21" t="s">
        <v>22</v>
      </c>
      <c r="C4" s="21" t="s">
        <v>55</v>
      </c>
      <c r="D4" s="22">
        <v>40884</v>
      </c>
      <c r="E4" s="21">
        <v>100</v>
      </c>
      <c r="F4" s="23">
        <v>16</v>
      </c>
      <c r="G4" s="29">
        <v>0</v>
      </c>
      <c r="H4" s="23" t="s">
        <v>61</v>
      </c>
      <c r="I4" s="21" t="s">
        <v>12</v>
      </c>
      <c r="J4" s="22">
        <f>WORKDAY(NC[[#This Row],[DATA]],IF(['[A/O']]="A",3,1))</f>
        <v>40889</v>
      </c>
      <c r="K4" s="21">
        <f>EOMONTH(NC[[#This Row],[D LIQUID]],0)</f>
        <v>40908</v>
      </c>
      <c r="L4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4" s="23">
        <f>[QTDE]*[PREÇO]+[CORREÇÃO]</f>
        <v>1600</v>
      </c>
      <c r="N4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1600</v>
      </c>
      <c r="O4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0.44</v>
      </c>
      <c r="P4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0.11</v>
      </c>
      <c r="Q4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4" s="23">
        <f>SETUP!$E$3*SUMPRODUCT(N([DATA]=NC[[#This Row],[DATA]]),N([ID]&lt;=NC[[#This Row],[ID]]))</f>
        <v>14.9</v>
      </c>
      <c r="S4" s="23">
        <f>TRUNC([CORR. BASE]*SETUP!$F$3,2)</f>
        <v>0.28999999999999998</v>
      </c>
      <c r="T4" s="23">
        <f>TRUNC([CORR. BASE]*SETUP!$G$3,2)</f>
        <v>0.57999999999999996</v>
      </c>
      <c r="U4" s="23">
        <f>[VL LIQUID]-[TX LIQUID]-[EMOL]-[REGISTRO]-[CORR. BASE]-[ISS]-[OUTRAS]</f>
        <v>1583.68</v>
      </c>
      <c r="V4" s="23">
        <f>[LÍQUIDO]-SUMPRODUCT(N([DATA]=NC[[#This Row],[DATA]]),N([ID]=(NC[[#This Row],[ID]]-1)),[LÍQUIDO])</f>
        <v>1583.68</v>
      </c>
      <c r="W4" s="23">
        <f t="shared" si="0"/>
        <v>15.8368</v>
      </c>
      <c r="X4" s="23">
        <f>TRUNC(IF(OR([OPER/TIPO]="CV",[OPER/TIPO]="VV"),     M4*SETUP!$H$3,     0),2)</f>
        <v>0.08</v>
      </c>
      <c r="Y4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4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13.782299999999998</v>
      </c>
      <c r="AA4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15.8368</v>
      </c>
      <c r="AB4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205.45000000000027</v>
      </c>
      <c r="AC4" s="29">
        <f>IF(['[A/O']]="O",[LUCRO OP]*0.15,0)</f>
        <v>0</v>
      </c>
      <c r="AD4" s="28">
        <f>[LUCRO OP]/ABS([VALOR P/ OP])</f>
        <v>0.12972949080622365</v>
      </c>
      <c r="AE4" s="23">
        <f>SUMPRODUCT(N(YEAR([D LIQUID])=YEAR(NC[[#This Row],[D LIQUID]])),N(MONTH([D LIQUID])=MONTH(NC[[#This Row],[D LIQUID]])),N(['[D/N']]="N"),[LUCRO OP])</f>
        <v>306.37500000000023</v>
      </c>
      <c r="AF4" s="23">
        <f>SUMPRODUCT(N(YEAR([D LIQUID])=YEAR(NC[[#This Row],[D LIQUID]])),N(MONTH([D LIQUID])=MONTH(NC[[#This Row],[D LIQUID]])),N(['[D/N']]="D"),[LUCRO OP])</f>
        <v>-36.1</v>
      </c>
      <c r="AG4" s="23">
        <f>[LUCRO N '[A']]+[LUCRO D]</f>
        <v>270.2750000000002</v>
      </c>
      <c r="AH4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5" spans="1:34" s="21" customFormat="1">
      <c r="A5" s="21">
        <v>4</v>
      </c>
      <c r="B5" s="21" t="s">
        <v>24</v>
      </c>
      <c r="C5" s="21" t="s">
        <v>54</v>
      </c>
      <c r="D5" s="22">
        <v>40890</v>
      </c>
      <c r="E5" s="21">
        <v>200</v>
      </c>
      <c r="F5" s="23">
        <v>5.66</v>
      </c>
      <c r="G5" s="29">
        <v>0</v>
      </c>
      <c r="H5" s="23" t="s">
        <v>61</v>
      </c>
      <c r="I5" s="21" t="s">
        <v>21</v>
      </c>
      <c r="J5" s="22">
        <f>WORKDAY(NC[[#This Row],[DATA]],IF(['[A/O']]="A",3,1))</f>
        <v>40893</v>
      </c>
      <c r="K5" s="21">
        <f>EOMONTH(NC[[#This Row],[D LIQUID]],0)</f>
        <v>40908</v>
      </c>
      <c r="L5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5" s="23">
        <f>[QTDE]*[PREÇO]+[CORREÇÃO]</f>
        <v>1132</v>
      </c>
      <c r="N5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-1132</v>
      </c>
      <c r="O5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</v>
      </c>
      <c r="P5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7.0000000000000007E-2</v>
      </c>
      <c r="Q5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5" s="23">
        <f>SETUP!$E$3*SUMPRODUCT(N([DATA]=NC[[#This Row],[DATA]]),N([ID]&lt;=NC[[#This Row],[ID]]))</f>
        <v>14.9</v>
      </c>
      <c r="S5" s="23">
        <f>TRUNC([CORR. BASE]*SETUP!$F$3,2)</f>
        <v>0.28999999999999998</v>
      </c>
      <c r="T5" s="23">
        <f>TRUNC([CORR. BASE]*SETUP!$G$3,2)</f>
        <v>0.57999999999999996</v>
      </c>
      <c r="U5" s="23">
        <f>[VL LIQUID]-[TX LIQUID]-[EMOL]-[REGISTRO]-[CORR. BASE]-[ISS]-[OUTRAS]</f>
        <v>-1148.04</v>
      </c>
      <c r="V5" s="23">
        <f>[LÍQUIDO]-SUMPRODUCT(N([DATA]=NC[[#This Row],[DATA]]),N([ID]=(NC[[#This Row],[ID]]-1)),[LÍQUIDO])</f>
        <v>-1148.04</v>
      </c>
      <c r="W5" s="23">
        <f t="shared" si="0"/>
        <v>5.7401999999999997</v>
      </c>
      <c r="X5" s="23">
        <f>TRUNC(IF(OR([OPER/TIPO]="CV",[OPER/TIPO]="VV"),     M5*SETUP!$H$3,     0),2)</f>
        <v>0</v>
      </c>
      <c r="Y5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5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5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5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5" s="29">
        <f>IF(['[A/O']]="O",[LUCRO OP]*0.15,0)</f>
        <v>0</v>
      </c>
      <c r="AD5" s="28">
        <f>[LUCRO OP]/ABS([VALOR P/ OP])</f>
        <v>0</v>
      </c>
      <c r="AE5" s="23">
        <f>SUMPRODUCT(N(YEAR([D LIQUID])=YEAR(NC[[#This Row],[D LIQUID]])),N(MONTH([D LIQUID])=MONTH(NC[[#This Row],[D LIQUID]])),N(['[D/N']]="N"),[LUCRO OP])</f>
        <v>306.37500000000023</v>
      </c>
      <c r="AF5" s="23">
        <f>SUMPRODUCT(N(YEAR([D LIQUID])=YEAR(NC[[#This Row],[D LIQUID]])),N(MONTH([D LIQUID])=MONTH(NC[[#This Row],[D LIQUID]])),N(['[D/N']]="D"),[LUCRO OP])</f>
        <v>-36.1</v>
      </c>
      <c r="AG5" s="23">
        <f>[LUCRO N '[A']]+[LUCRO D]</f>
        <v>270.2750000000002</v>
      </c>
      <c r="AH5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6" spans="1:34" s="21" customFormat="1">
      <c r="A6" s="21">
        <v>5</v>
      </c>
      <c r="B6" s="21" t="s">
        <v>24</v>
      </c>
      <c r="C6" s="21" t="s">
        <v>55</v>
      </c>
      <c r="D6" s="22">
        <v>40890</v>
      </c>
      <c r="E6" s="21">
        <v>200</v>
      </c>
      <c r="F6" s="23">
        <v>5.64</v>
      </c>
      <c r="G6" s="29">
        <v>0</v>
      </c>
      <c r="H6" s="23" t="s">
        <v>61</v>
      </c>
      <c r="I6" s="21" t="s">
        <v>21</v>
      </c>
      <c r="J6" s="22">
        <f>WORKDAY(NC[[#This Row],[DATA]],IF(['[A/O']]="A",3,1))</f>
        <v>40893</v>
      </c>
      <c r="K6" s="21">
        <f>EOMONTH(NC[[#This Row],[D LIQUID]],0)</f>
        <v>40908</v>
      </c>
      <c r="L6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6" s="23">
        <f>[QTDE]*[PREÇO]+[CORREÇÃO]</f>
        <v>1128</v>
      </c>
      <c r="N6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-4</v>
      </c>
      <c r="O6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0.4</v>
      </c>
      <c r="P6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0.15</v>
      </c>
      <c r="Q6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6" s="23">
        <f>SETUP!$E$3*SUMPRODUCT(N([DATA]=NC[[#This Row],[DATA]]),N([ID]&lt;=NC[[#This Row],[ID]]))</f>
        <v>29.8</v>
      </c>
      <c r="S6" s="23">
        <f>TRUNC([CORR. BASE]*SETUP!$F$3,2)</f>
        <v>0.59</v>
      </c>
      <c r="T6" s="23">
        <f>TRUNC([CORR. BASE]*SETUP!$G$3,2)</f>
        <v>1.1599999999999999</v>
      </c>
      <c r="U6" s="23">
        <f>[VL LIQUID]-[TX LIQUID]-[EMOL]-[REGISTRO]-[CORR. BASE]-[ISS]-[OUTRAS]</f>
        <v>-36.1</v>
      </c>
      <c r="V6" s="23">
        <f>[LÍQUIDO]-SUMPRODUCT(N([DATA]=NC[[#This Row],[DATA]]),N([ID]=(NC[[#This Row],[ID]]-1)),[LÍQUIDO])</f>
        <v>1111.94</v>
      </c>
      <c r="W6" s="23">
        <f t="shared" si="0"/>
        <v>5.5597000000000003</v>
      </c>
      <c r="X6" s="23">
        <f>TRUNC(IF(OR([OPER/TIPO]="CV",[OPER/TIPO]="VV"),     M6*SETUP!$H$3,     0),2)</f>
        <v>0.05</v>
      </c>
      <c r="Y6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6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6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6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-36.1</v>
      </c>
      <c r="AC6" s="29">
        <f>IF(['[A/O']]="O",[LUCRO OP]*0.15,0)</f>
        <v>0</v>
      </c>
      <c r="AD6" s="28">
        <f>[LUCRO OP]/ABS([VALOR P/ OP])</f>
        <v>-3.2465780527726314E-2</v>
      </c>
      <c r="AE6" s="23">
        <f>SUMPRODUCT(N(YEAR([D LIQUID])=YEAR(NC[[#This Row],[D LIQUID]])),N(MONTH([D LIQUID])=MONTH(NC[[#This Row],[D LIQUID]])),N(['[D/N']]="N"),[LUCRO OP])</f>
        <v>306.37500000000023</v>
      </c>
      <c r="AF6" s="23">
        <f>SUMPRODUCT(N(YEAR([D LIQUID])=YEAR(NC[[#This Row],[D LIQUID]])),N(MONTH([D LIQUID])=MONTH(NC[[#This Row],[D LIQUID]])),N(['[D/N']]="D"),[LUCRO OP])</f>
        <v>-36.1</v>
      </c>
      <c r="AG6" s="23">
        <f>[LUCRO N '[A']]+[LUCRO D]</f>
        <v>270.2750000000002</v>
      </c>
      <c r="AH6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7" spans="1:34" s="21" customFormat="1">
      <c r="A7" s="21">
        <v>6</v>
      </c>
      <c r="B7" s="21" t="s">
        <v>24</v>
      </c>
      <c r="C7" s="21" t="s">
        <v>54</v>
      </c>
      <c r="D7" s="22">
        <v>40890</v>
      </c>
      <c r="E7" s="21">
        <v>200</v>
      </c>
      <c r="F7" s="23">
        <v>5.65</v>
      </c>
      <c r="G7" s="29">
        <v>0</v>
      </c>
      <c r="H7" s="23" t="s">
        <v>61</v>
      </c>
      <c r="I7" s="21" t="s">
        <v>12</v>
      </c>
      <c r="J7" s="22">
        <f>WORKDAY(NC[[#This Row],[DATA]],IF(['[A/O']]="A",3,1))</f>
        <v>40893</v>
      </c>
      <c r="K7" s="21">
        <f>EOMONTH(NC[[#This Row],[D LIQUID]],0)</f>
        <v>40908</v>
      </c>
      <c r="L7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7" s="23">
        <f>[QTDE]*[PREÇO]+[CORREÇÃO]</f>
        <v>1130</v>
      </c>
      <c r="N7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-1134</v>
      </c>
      <c r="O7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0.71</v>
      </c>
      <c r="P7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0.23</v>
      </c>
      <c r="Q7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7" s="23">
        <f>SETUP!$E$3*SUMPRODUCT(N([DATA]=NC[[#This Row],[DATA]]),N([ID]&lt;=NC[[#This Row],[ID]]))</f>
        <v>44.7</v>
      </c>
      <c r="S7" s="23">
        <f>TRUNC([CORR. BASE]*SETUP!$F$3,2)</f>
        <v>0.89</v>
      </c>
      <c r="T7" s="23">
        <f>TRUNC([CORR. BASE]*SETUP!$G$3,2)</f>
        <v>1.74</v>
      </c>
      <c r="U7" s="23">
        <f>[VL LIQUID]-[TX LIQUID]-[EMOL]-[REGISTRO]-[CORR. BASE]-[ISS]-[OUTRAS]</f>
        <v>-1182.2700000000002</v>
      </c>
      <c r="V7" s="23">
        <f>[LÍQUIDO]-SUMPRODUCT(N([DATA]=NC[[#This Row],[DATA]]),N([ID]=(NC[[#This Row],[ID]]-1)),[LÍQUIDO])</f>
        <v>-1146.1700000000003</v>
      </c>
      <c r="W7" s="23">
        <f t="shared" si="0"/>
        <v>5.7308500000000011</v>
      </c>
      <c r="X7" s="23">
        <f>TRUNC(IF(OR([OPER/TIPO]="CV",[OPER/TIPO]="VV"),     M7*SETUP!$H$3,     0),2)</f>
        <v>0</v>
      </c>
      <c r="Y7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200</v>
      </c>
      <c r="Z7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5.7308500000000011</v>
      </c>
      <c r="AA7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7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7" s="29">
        <f>IF(['[A/O']]="O",[LUCRO OP]*0.15,0)</f>
        <v>0</v>
      </c>
      <c r="AD7" s="28">
        <f>[LUCRO OP]/ABS([VALOR P/ OP])</f>
        <v>0</v>
      </c>
      <c r="AE7" s="23">
        <f>SUMPRODUCT(N(YEAR([D LIQUID])=YEAR(NC[[#This Row],[D LIQUID]])),N(MONTH([D LIQUID])=MONTH(NC[[#This Row],[D LIQUID]])),N(['[D/N']]="N"),[LUCRO OP])</f>
        <v>306.37500000000023</v>
      </c>
      <c r="AF7" s="23">
        <f>SUMPRODUCT(N(YEAR([D LIQUID])=YEAR(NC[[#This Row],[D LIQUID]])),N(MONTH([D LIQUID])=MONTH(NC[[#This Row],[D LIQUID]])),N(['[D/N']]="D"),[LUCRO OP])</f>
        <v>-36.1</v>
      </c>
      <c r="AG7" s="23">
        <f>[LUCRO N '[A']]+[LUCRO D]</f>
        <v>270.2750000000002</v>
      </c>
      <c r="AH7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8" spans="1:34" s="21" customFormat="1">
      <c r="A8" s="21">
        <v>7</v>
      </c>
      <c r="B8" s="21" t="s">
        <v>25</v>
      </c>
      <c r="C8" s="21" t="s">
        <v>56</v>
      </c>
      <c r="D8" s="22">
        <v>40897</v>
      </c>
      <c r="E8" s="21">
        <v>200</v>
      </c>
      <c r="F8" s="23">
        <v>4.2699999999999996</v>
      </c>
      <c r="G8" s="29">
        <v>0</v>
      </c>
      <c r="H8" s="23" t="s">
        <v>61</v>
      </c>
      <c r="I8" s="21" t="s">
        <v>12</v>
      </c>
      <c r="J8" s="22">
        <f>WORKDAY(NC[[#This Row],[DATA]],IF(['[A/O']]="A",3,1))</f>
        <v>40900</v>
      </c>
      <c r="K8" s="21">
        <f>EOMONTH(NC[[#This Row],[D LIQUID]],0)</f>
        <v>40908</v>
      </c>
      <c r="L8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8" s="23">
        <f>[QTDE]*[PREÇO]+[CORREÇÃO]</f>
        <v>853.99999999999989</v>
      </c>
      <c r="N8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853.99999999999989</v>
      </c>
      <c r="O8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0.23</v>
      </c>
      <c r="P8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0.05</v>
      </c>
      <c r="Q8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8" s="23">
        <f>SETUP!$E$3*SUMPRODUCT(N([DATA]=NC[[#This Row],[DATA]]),N([ID]&lt;=NC[[#This Row],[ID]]))</f>
        <v>14.9</v>
      </c>
      <c r="S8" s="23">
        <f>TRUNC([CORR. BASE]*SETUP!$F$3,2)</f>
        <v>0.28999999999999998</v>
      </c>
      <c r="T8" s="23">
        <f>TRUNC([CORR. BASE]*SETUP!$G$3,2)</f>
        <v>0.57999999999999996</v>
      </c>
      <c r="U8" s="23">
        <f>[VL LIQUID]-[TX LIQUID]-[EMOL]-[REGISTRO]-[CORR. BASE]-[ISS]-[OUTRAS]</f>
        <v>837.94999999999993</v>
      </c>
      <c r="V8" s="23">
        <f>[LÍQUIDO]-SUMPRODUCT(N([DATA]=NC[[#This Row],[DATA]]),N([ID]=(NC[[#This Row],[ID]]-1)),[LÍQUIDO])</f>
        <v>837.94999999999993</v>
      </c>
      <c r="W8" s="23">
        <f t="shared" si="0"/>
        <v>4.1897500000000001</v>
      </c>
      <c r="X8" s="23">
        <f>TRUNC(IF(OR([OPER/TIPO]="CV",[OPER/TIPO]="VV"),     M8*SETUP!$H$3,     0),2)</f>
        <v>0.04</v>
      </c>
      <c r="Y8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-200</v>
      </c>
      <c r="Z8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8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4.1897500000000001</v>
      </c>
      <c r="AB8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8" s="29">
        <f>IF(['[A/O']]="O",[LUCRO OP]*0.15,0)</f>
        <v>0</v>
      </c>
      <c r="AD8" s="28">
        <f>[LUCRO OP]/ABS([VALOR P/ OP])</f>
        <v>0</v>
      </c>
      <c r="AE8" s="23">
        <f>SUMPRODUCT(N(YEAR([D LIQUID])=YEAR(NC[[#This Row],[D LIQUID]])),N(MONTH([D LIQUID])=MONTH(NC[[#This Row],[D LIQUID]])),N(['[D/N']]="N"),[LUCRO OP])</f>
        <v>306.37500000000023</v>
      </c>
      <c r="AF8" s="23">
        <f>SUMPRODUCT(N(YEAR([D LIQUID])=YEAR(NC[[#This Row],[D LIQUID]])),N(MONTH([D LIQUID])=MONTH(NC[[#This Row],[D LIQUID]])),N(['[D/N']]="D"),[LUCRO OP])</f>
        <v>-36.1</v>
      </c>
      <c r="AG8" s="23">
        <f>[LUCRO N '[A']]+[LUCRO D]</f>
        <v>270.2750000000002</v>
      </c>
      <c r="AH8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9" spans="1:34" s="21" customFormat="1">
      <c r="A9" s="21">
        <v>8</v>
      </c>
      <c r="B9" s="21" t="s">
        <v>26</v>
      </c>
      <c r="C9" s="21" t="s">
        <v>54</v>
      </c>
      <c r="D9" s="22">
        <v>40900</v>
      </c>
      <c r="E9" s="21">
        <v>300</v>
      </c>
      <c r="F9" s="23">
        <v>7.86</v>
      </c>
      <c r="G9" s="29">
        <v>0</v>
      </c>
      <c r="H9" s="23" t="s">
        <v>61</v>
      </c>
      <c r="I9" s="21" t="s">
        <v>12</v>
      </c>
      <c r="J9" s="22">
        <f>WORKDAY(NC[[#This Row],[DATA]],IF(['[A/O']]="A",3,1))</f>
        <v>40905</v>
      </c>
      <c r="K9" s="21">
        <f>EOMONTH(NC[[#This Row],[D LIQUID]],0)</f>
        <v>40908</v>
      </c>
      <c r="L9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9" s="23">
        <f>[QTDE]*[PREÇO]+[CORREÇÃO]</f>
        <v>2358</v>
      </c>
      <c r="N9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-2358</v>
      </c>
      <c r="O9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0.64</v>
      </c>
      <c r="P9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0.16</v>
      </c>
      <c r="Q9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9" s="23">
        <f>SETUP!$E$3*SUMPRODUCT(N([DATA]=NC[[#This Row],[DATA]]),N([ID]&lt;=NC[[#This Row],[ID]]))</f>
        <v>14.9</v>
      </c>
      <c r="S9" s="23">
        <f>TRUNC([CORR. BASE]*SETUP!$F$3,2)</f>
        <v>0.28999999999999998</v>
      </c>
      <c r="T9" s="23">
        <f>TRUNC([CORR. BASE]*SETUP!$G$3,2)</f>
        <v>0.57999999999999996</v>
      </c>
      <c r="U9" s="23">
        <f>[VL LIQUID]-[TX LIQUID]-[EMOL]-[REGISTRO]-[CORR. BASE]-[ISS]-[OUTRAS]</f>
        <v>-2374.5699999999997</v>
      </c>
      <c r="V9" s="23">
        <f>[LÍQUIDO]-SUMPRODUCT(N([DATA]=NC[[#This Row],[DATA]]),N([ID]=(NC[[#This Row],[ID]]-1)),[LÍQUIDO])</f>
        <v>-2374.5699999999997</v>
      </c>
      <c r="W9" s="23">
        <f t="shared" si="0"/>
        <v>7.9152333333333322</v>
      </c>
      <c r="X9" s="23">
        <f>TRUNC(IF(OR([OPER/TIPO]="CV",[OPER/TIPO]="VV"),     M9*SETUP!$H$3,     0),2)</f>
        <v>0</v>
      </c>
      <c r="Y9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300</v>
      </c>
      <c r="Z9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7.9152333333333322</v>
      </c>
      <c r="AA9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9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9" s="29">
        <f>IF(['[A/O']]="O",[LUCRO OP]*0.15,0)</f>
        <v>0</v>
      </c>
      <c r="AD9" s="28">
        <f>[LUCRO OP]/ABS([VALOR P/ OP])</f>
        <v>0</v>
      </c>
      <c r="AE9" s="23">
        <f>SUMPRODUCT(N(YEAR([D LIQUID])=YEAR(NC[[#This Row],[D LIQUID]])),N(MONTH([D LIQUID])=MONTH(NC[[#This Row],[D LIQUID]])),N(['[D/N']]="N"),[LUCRO OP])</f>
        <v>306.37500000000023</v>
      </c>
      <c r="AF9" s="23">
        <f>SUMPRODUCT(N(YEAR([D LIQUID])=YEAR(NC[[#This Row],[D LIQUID]])),N(MONTH([D LIQUID])=MONTH(NC[[#This Row],[D LIQUID]])),N(['[D/N']]="D"),[LUCRO OP])</f>
        <v>-36.1</v>
      </c>
      <c r="AG9" s="23">
        <f>[LUCRO N '[A']]+[LUCRO D]</f>
        <v>270.2750000000002</v>
      </c>
      <c r="AH9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10" spans="1:34" s="21" customFormat="1">
      <c r="A10" s="21">
        <v>9</v>
      </c>
      <c r="B10" s="21" t="s">
        <v>24</v>
      </c>
      <c r="C10" s="21" t="s">
        <v>55</v>
      </c>
      <c r="D10" s="22">
        <v>40903</v>
      </c>
      <c r="E10" s="21">
        <v>100</v>
      </c>
      <c r="F10" s="23">
        <v>6.9</v>
      </c>
      <c r="G10" s="29">
        <v>0</v>
      </c>
      <c r="H10" s="23" t="s">
        <v>61</v>
      </c>
      <c r="I10" s="21" t="s">
        <v>12</v>
      </c>
      <c r="J10" s="22">
        <f>WORKDAY(NC[[#This Row],[DATA]],IF(['[A/O']]="A",3,1))</f>
        <v>40906</v>
      </c>
      <c r="K10" s="21">
        <f>EOMONTH(NC[[#This Row],[D LIQUID]],0)</f>
        <v>40908</v>
      </c>
      <c r="L10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10" s="23">
        <f>[QTDE]*[PREÇO]+[CORREÇÃO]</f>
        <v>690</v>
      </c>
      <c r="N10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690</v>
      </c>
      <c r="O10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0.18</v>
      </c>
      <c r="P10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0.04</v>
      </c>
      <c r="Q10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10" s="23">
        <f>SETUP!$E$3*SUMPRODUCT(N([DATA]=NC[[#This Row],[DATA]]),N([ID]&lt;=NC[[#This Row],[ID]]))</f>
        <v>14.9</v>
      </c>
      <c r="S10" s="23">
        <f>TRUNC([CORR. BASE]*SETUP!$F$3,2)</f>
        <v>0.28999999999999998</v>
      </c>
      <c r="T10" s="23">
        <f>TRUNC([CORR. BASE]*SETUP!$G$3,2)</f>
        <v>0.57999999999999996</v>
      </c>
      <c r="U10" s="23">
        <f>[VL LIQUID]-[TX LIQUID]-[EMOL]-[REGISTRO]-[CORR. BASE]-[ISS]-[OUTRAS]</f>
        <v>674.0100000000001</v>
      </c>
      <c r="V10" s="23">
        <f>[LÍQUIDO]-SUMPRODUCT(N([DATA]=NC[[#This Row],[DATA]]),N([ID]=(NC[[#This Row],[ID]]-1)),[LÍQUIDO])</f>
        <v>674.0100000000001</v>
      </c>
      <c r="W10" s="23">
        <f t="shared" si="0"/>
        <v>6.7401000000000009</v>
      </c>
      <c r="X10" s="23">
        <f>TRUNC(IF(OR([OPER/TIPO]="CV",[OPER/TIPO]="VV"),     M10*SETUP!$H$3,     0),2)</f>
        <v>0.03</v>
      </c>
      <c r="Y10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100</v>
      </c>
      <c r="Z10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5.7308500000000011</v>
      </c>
      <c r="AA10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6.7401000000000009</v>
      </c>
      <c r="AB10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100.92499999999998</v>
      </c>
      <c r="AC10" s="29">
        <f>IF(['[A/O']]="O",[LUCRO OP]*0.15,0)</f>
        <v>0</v>
      </c>
      <c r="AD10" s="28">
        <f>[LUCRO OP]/ABS([VALOR P/ OP])</f>
        <v>0.14973813444904374</v>
      </c>
      <c r="AE10" s="23">
        <f>SUMPRODUCT(N(YEAR([D LIQUID])=YEAR(NC[[#This Row],[D LIQUID]])),N(MONTH([D LIQUID])=MONTH(NC[[#This Row],[D LIQUID]])),N(['[D/N']]="N"),[LUCRO OP])</f>
        <v>306.37500000000023</v>
      </c>
      <c r="AF10" s="23">
        <f>SUMPRODUCT(N(YEAR([D LIQUID])=YEAR(NC[[#This Row],[D LIQUID]])),N(MONTH([D LIQUID])=MONTH(NC[[#This Row],[D LIQUID]])),N(['[D/N']]="D"),[LUCRO OP])</f>
        <v>-36.1</v>
      </c>
      <c r="AG10" s="23">
        <f>[LUCRO N '[A']]+[LUCRO D]</f>
        <v>270.2750000000002</v>
      </c>
      <c r="AH10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11" spans="1:34" s="21" customFormat="1">
      <c r="A11" s="21">
        <v>10</v>
      </c>
      <c r="B11" s="21" t="s">
        <v>24</v>
      </c>
      <c r="C11" s="21" t="s">
        <v>55</v>
      </c>
      <c r="D11" s="22">
        <v>40910</v>
      </c>
      <c r="E11" s="21">
        <v>100</v>
      </c>
      <c r="F11" s="23">
        <v>5.83</v>
      </c>
      <c r="G11" s="29">
        <v>0</v>
      </c>
      <c r="H11" s="23" t="s">
        <v>61</v>
      </c>
      <c r="I11" s="21" t="s">
        <v>12</v>
      </c>
      <c r="J11" s="22">
        <f>WORKDAY(NC[[#This Row],[DATA]],IF(['[A/O']]="A",3,1))</f>
        <v>40913</v>
      </c>
      <c r="K11" s="21">
        <f>EOMONTH(NC[[#This Row],[D LIQUID]],0)</f>
        <v>40939</v>
      </c>
      <c r="L11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11" s="23">
        <f>[QTDE]*[PREÇO]+[CORREÇÃO]</f>
        <v>583</v>
      </c>
      <c r="N11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583</v>
      </c>
      <c r="O11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0.16</v>
      </c>
      <c r="P11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0.04</v>
      </c>
      <c r="Q11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11" s="23">
        <f>SETUP!$E$3*SUMPRODUCT(N([DATA]=NC[[#This Row],[DATA]]),N([ID]&lt;=NC[[#This Row],[ID]]))</f>
        <v>14.9</v>
      </c>
      <c r="S11" s="23">
        <f>TRUNC([CORR. BASE]*SETUP!$F$3,2)</f>
        <v>0.28999999999999998</v>
      </c>
      <c r="T11" s="23">
        <f>TRUNC([CORR. BASE]*SETUP!$G$3,2)</f>
        <v>0.57999999999999996</v>
      </c>
      <c r="U11" s="23">
        <f>[VL LIQUID]-[TX LIQUID]-[EMOL]-[REGISTRO]-[CORR. BASE]-[ISS]-[OUTRAS]</f>
        <v>567.03000000000009</v>
      </c>
      <c r="V11" s="23">
        <f>[LÍQUIDO]-SUMPRODUCT(N([DATA]=NC[[#This Row],[DATA]]),N([ID]=(NC[[#This Row],[ID]]-1)),[LÍQUIDO])</f>
        <v>567.03000000000009</v>
      </c>
      <c r="W11" s="23">
        <f t="shared" si="0"/>
        <v>5.670300000000001</v>
      </c>
      <c r="X11" s="23">
        <f>TRUNC(IF(OR([OPER/TIPO]="CV",[OPER/TIPO]="VV"),     M11*SETUP!$H$3,     0),2)</f>
        <v>0.02</v>
      </c>
      <c r="Y11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11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5.7308500000000011</v>
      </c>
      <c r="AA11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5.670300000000001</v>
      </c>
      <c r="AB11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-6.0550000000000104</v>
      </c>
      <c r="AC11" s="29">
        <f>IF(['[A/O']]="O",[LUCRO OP]*0.15,0)</f>
        <v>0</v>
      </c>
      <c r="AD11" s="28">
        <f>[LUCRO OP]/ABS([VALOR P/ OP])</f>
        <v>-1.0678447348464825E-2</v>
      </c>
      <c r="AE11" s="23">
        <f>SUMPRODUCT(N(YEAR([D LIQUID])=YEAR(NC[[#This Row],[D LIQUID]])),N(MONTH([D LIQUID])=MONTH(NC[[#This Row],[D LIQUID]])),N(['[D/N']]="N"),[LUCRO OP])</f>
        <v>-324.88500000000062</v>
      </c>
      <c r="AF11" s="23">
        <f>SUMPRODUCT(N(YEAR([D LIQUID])=YEAR(NC[[#This Row],[D LIQUID]])),N(MONTH([D LIQUID])=MONTH(NC[[#This Row],[D LIQUID]])),N(['[D/N']]="D"),[LUCRO OP])</f>
        <v>0</v>
      </c>
      <c r="AG11" s="23">
        <f>[LUCRO N '[A']]+[LUCRO D]</f>
        <v>-324.88500000000062</v>
      </c>
      <c r="AH11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2" spans="1:34" s="21" customFormat="1">
      <c r="A12" s="21">
        <v>11</v>
      </c>
      <c r="B12" s="21" t="s">
        <v>24</v>
      </c>
      <c r="C12" s="21" t="s">
        <v>54</v>
      </c>
      <c r="D12" s="22">
        <v>40911</v>
      </c>
      <c r="E12" s="21">
        <v>200</v>
      </c>
      <c r="F12" s="23">
        <v>5.8</v>
      </c>
      <c r="G12" s="29">
        <v>0</v>
      </c>
      <c r="H12" s="23" t="s">
        <v>61</v>
      </c>
      <c r="I12" s="21" t="s">
        <v>12</v>
      </c>
      <c r="J12" s="22">
        <f>WORKDAY(NC[[#This Row],[DATA]],IF(['[A/O']]="A",3,1))</f>
        <v>40914</v>
      </c>
      <c r="K12" s="21">
        <f>EOMONTH(NC[[#This Row],[D LIQUID]],0)</f>
        <v>40939</v>
      </c>
      <c r="L12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3</v>
      </c>
      <c r="M12" s="23">
        <f>[QTDE]*[PREÇO]+[CORREÇÃO]</f>
        <v>1160</v>
      </c>
      <c r="N12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-1160</v>
      </c>
      <c r="O12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0.31</v>
      </c>
      <c r="P12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0.08</v>
      </c>
      <c r="Q12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12" s="23">
        <f>SETUP!$E$3*SUMPRODUCT(N([DATA]=NC[[#This Row],[DATA]]),N([ID]&lt;=NC[[#This Row],[ID]]))</f>
        <v>14.9</v>
      </c>
      <c r="S12" s="23">
        <f>TRUNC([CORR. BASE]*SETUP!$F$3,2)</f>
        <v>0.28999999999999998</v>
      </c>
      <c r="T12" s="23">
        <f>TRUNC([CORR. BASE]*SETUP!$G$3,2)</f>
        <v>0.57999999999999996</v>
      </c>
      <c r="U12" s="23">
        <f>[VL LIQUID]-[TX LIQUID]-[EMOL]-[REGISTRO]-[CORR. BASE]-[ISS]-[OUTRAS]</f>
        <v>-1176.1599999999999</v>
      </c>
      <c r="V12" s="23">
        <f>[LÍQUIDO]-SUMPRODUCT(N([DATA]=NC[[#This Row],[DATA]]),N([ID]=(NC[[#This Row],[ID]]-1)),[LÍQUIDO])</f>
        <v>-1176.1599999999999</v>
      </c>
      <c r="W12" s="23">
        <f t="shared" si="0"/>
        <v>5.8807999999999989</v>
      </c>
      <c r="X12" s="23">
        <f>TRUNC(IF(OR([OPER/TIPO]="CV",[OPER/TIPO]="VV"),     M12*SETUP!$H$3,     0),2)</f>
        <v>0</v>
      </c>
      <c r="Y12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200</v>
      </c>
      <c r="Z12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5.8807999999999989</v>
      </c>
      <c r="AA12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12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12" s="29">
        <f>IF(['[A/O']]="O",[LUCRO OP]*0.15,0)</f>
        <v>0</v>
      </c>
      <c r="AD12" s="28">
        <f>[LUCRO OP]/ABS([VALOR P/ OP])</f>
        <v>0</v>
      </c>
      <c r="AE12" s="23">
        <f>SUMPRODUCT(N(YEAR([D LIQUID])=YEAR(NC[[#This Row],[D LIQUID]])),N(MONTH([D LIQUID])=MONTH(NC[[#This Row],[D LIQUID]])),N(['[D/N']]="N"),[LUCRO OP])</f>
        <v>-324.88500000000062</v>
      </c>
      <c r="AF12" s="23">
        <f>SUMPRODUCT(N(YEAR([D LIQUID])=YEAR(NC[[#This Row],[D LIQUID]])),N(MONTH([D LIQUID])=MONTH(NC[[#This Row],[D LIQUID]])),N(['[D/N']]="D"),[LUCRO OP])</f>
        <v>0</v>
      </c>
      <c r="AG12" s="23">
        <f>[LUCRO N '[A']]+[LUCRO D]</f>
        <v>-324.88500000000062</v>
      </c>
      <c r="AH12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3" spans="1:34" s="21" customFormat="1">
      <c r="A13" s="21">
        <v>12</v>
      </c>
      <c r="B13" s="21" t="s">
        <v>27</v>
      </c>
      <c r="C13" s="21" t="s">
        <v>56</v>
      </c>
      <c r="D13" s="22">
        <v>40920</v>
      </c>
      <c r="E13" s="21">
        <v>300</v>
      </c>
      <c r="F13" s="23">
        <v>9.0399999999999991</v>
      </c>
      <c r="G13" s="29">
        <v>0</v>
      </c>
      <c r="H13" s="23" t="s">
        <v>61</v>
      </c>
      <c r="I13" s="21" t="s">
        <v>12</v>
      </c>
      <c r="J13" s="22">
        <f>WORKDAY(NC[[#This Row],[DATA]],IF(['[A/O']]="A",3,1))</f>
        <v>40925</v>
      </c>
      <c r="K13" s="21">
        <f>EOMONTH(NC[[#This Row],[D LIQUID]],0)</f>
        <v>40939</v>
      </c>
      <c r="L13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13" s="23">
        <f>[QTDE]*[PREÇO]+[CORREÇÃO]</f>
        <v>2711.9999999999995</v>
      </c>
      <c r="N13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2711.9999999999995</v>
      </c>
      <c r="O13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0.74</v>
      </c>
      <c r="P13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0.18</v>
      </c>
      <c r="Q13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13" s="23">
        <f>SETUP!$E$3*SUMPRODUCT(N([DATA]=NC[[#This Row],[DATA]]),N([ID]&lt;=NC[[#This Row],[ID]]))</f>
        <v>14.9</v>
      </c>
      <c r="S13" s="23">
        <f>TRUNC([CORR. BASE]*SETUP!$F$3,2)</f>
        <v>0.28999999999999998</v>
      </c>
      <c r="T13" s="23">
        <f>TRUNC([CORR. BASE]*SETUP!$G$3,2)</f>
        <v>0.57999999999999996</v>
      </c>
      <c r="U13" s="23">
        <f>[VL LIQUID]-[TX LIQUID]-[EMOL]-[REGISTRO]-[CORR. BASE]-[ISS]-[OUTRAS]</f>
        <v>2695.31</v>
      </c>
      <c r="V13" s="23">
        <f>[LÍQUIDO]-SUMPRODUCT(N([DATA]=NC[[#This Row],[DATA]]),N([ID]=(NC[[#This Row],[ID]]-1)),[LÍQUIDO])</f>
        <v>2695.31</v>
      </c>
      <c r="W13" s="23">
        <f t="shared" si="0"/>
        <v>8.9843666666666664</v>
      </c>
      <c r="X13" s="23">
        <f>TRUNC(IF(OR([OPER/TIPO]="CV",[OPER/TIPO]="VV"),     M13*SETUP!$H$3,     0),2)</f>
        <v>0.13</v>
      </c>
      <c r="Y13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-300</v>
      </c>
      <c r="Z13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13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8.9843666666666664</v>
      </c>
      <c r="AB13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13" s="29">
        <f>IF(['[A/O']]="O",[LUCRO OP]*0.15,0)</f>
        <v>0</v>
      </c>
      <c r="AD13" s="28">
        <f>[LUCRO OP]/ABS([VALOR P/ OP])</f>
        <v>0</v>
      </c>
      <c r="AE13" s="23">
        <f>SUMPRODUCT(N(YEAR([D LIQUID])=YEAR(NC[[#This Row],[D LIQUID]])),N(MONTH([D LIQUID])=MONTH(NC[[#This Row],[D LIQUID]])),N(['[D/N']]="N"),[LUCRO OP])</f>
        <v>-324.88500000000062</v>
      </c>
      <c r="AF13" s="23">
        <f>SUMPRODUCT(N(YEAR([D LIQUID])=YEAR(NC[[#This Row],[D LIQUID]])),N(MONTH([D LIQUID])=MONTH(NC[[#This Row],[D LIQUID]])),N(['[D/N']]="D"),[LUCRO OP])</f>
        <v>0</v>
      </c>
      <c r="AG13" s="23">
        <f>[LUCRO N '[A']]+[LUCRO D]</f>
        <v>-324.88500000000062</v>
      </c>
      <c r="AH13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4" spans="1:34" s="21" customFormat="1">
      <c r="A14" s="21">
        <v>13</v>
      </c>
      <c r="B14" s="21" t="s">
        <v>24</v>
      </c>
      <c r="C14" s="21" t="s">
        <v>55</v>
      </c>
      <c r="D14" s="22">
        <v>40920</v>
      </c>
      <c r="E14" s="21">
        <v>200</v>
      </c>
      <c r="F14" s="23">
        <v>5.56</v>
      </c>
      <c r="G14" s="29">
        <v>0</v>
      </c>
      <c r="H14" s="23" t="s">
        <v>61</v>
      </c>
      <c r="I14" s="21" t="s">
        <v>12</v>
      </c>
      <c r="J14" s="22">
        <f>WORKDAY(NC[[#This Row],[DATA]],IF(['[A/O']]="A",3,1))</f>
        <v>40925</v>
      </c>
      <c r="K14" s="21">
        <f>EOMONTH(NC[[#This Row],[D LIQUID]],0)</f>
        <v>40939</v>
      </c>
      <c r="L14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3</v>
      </c>
      <c r="M14" s="23">
        <f>[QTDE]*[PREÇO]+[CORREÇÃO]</f>
        <v>1112</v>
      </c>
      <c r="N14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3823.9999999999995</v>
      </c>
      <c r="O14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1.05</v>
      </c>
      <c r="P14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0.26</v>
      </c>
      <c r="Q14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14" s="23">
        <f>SETUP!$E$3*SUMPRODUCT(N([DATA]=NC[[#This Row],[DATA]]),N([ID]&lt;=NC[[#This Row],[ID]]))</f>
        <v>29.8</v>
      </c>
      <c r="S14" s="23">
        <f>TRUNC([CORR. BASE]*SETUP!$F$3,2)</f>
        <v>0.59</v>
      </c>
      <c r="T14" s="23">
        <f>TRUNC([CORR. BASE]*SETUP!$G$3,2)</f>
        <v>1.1599999999999999</v>
      </c>
      <c r="U14" s="23">
        <f>[VL LIQUID]-[TX LIQUID]-[EMOL]-[REGISTRO]-[CORR. BASE]-[ISS]-[OUTRAS]</f>
        <v>3791.139999999999</v>
      </c>
      <c r="V14" s="23">
        <f>[LÍQUIDO]-SUMPRODUCT(N([DATA]=NC[[#This Row],[DATA]]),N([ID]=(NC[[#This Row],[ID]]-1)),[LÍQUIDO])</f>
        <v>1095.829999999999</v>
      </c>
      <c r="W14" s="23">
        <f t="shared" si="0"/>
        <v>5.4791499999999953</v>
      </c>
      <c r="X14" s="23">
        <f>TRUNC(IF(OR([OPER/TIPO]="CV",[OPER/TIPO]="VV"),     M14*SETUP!$H$3,     0),2)</f>
        <v>0.05</v>
      </c>
      <c r="Y14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14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5.8807999999999989</v>
      </c>
      <c r="AA14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5.4791499999999953</v>
      </c>
      <c r="AB14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-80.330000000000723</v>
      </c>
      <c r="AC14" s="29">
        <f>IF(['[A/O']]="O",[LUCRO OP]*0.15,0)</f>
        <v>0</v>
      </c>
      <c r="AD14" s="28">
        <f>[LUCRO OP]/ABS([VALOR P/ OP])</f>
        <v>-7.3305165947273571E-2</v>
      </c>
      <c r="AE14" s="23">
        <f>SUMPRODUCT(N(YEAR([D LIQUID])=YEAR(NC[[#This Row],[D LIQUID]])),N(MONTH([D LIQUID])=MONTH(NC[[#This Row],[D LIQUID]])),N(['[D/N']]="N"),[LUCRO OP])</f>
        <v>-324.88500000000062</v>
      </c>
      <c r="AF14" s="23">
        <f>SUMPRODUCT(N(YEAR([D LIQUID])=YEAR(NC[[#This Row],[D LIQUID]])),N(MONTH([D LIQUID])=MONTH(NC[[#This Row],[D LIQUID]])),N(['[D/N']]="D"),[LUCRO OP])</f>
        <v>0</v>
      </c>
      <c r="AG14" s="23">
        <f>[LUCRO N '[A']]+[LUCRO D]</f>
        <v>-324.88500000000062</v>
      </c>
      <c r="AH14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5" spans="1:34" s="21" customFormat="1">
      <c r="A15" s="21">
        <v>14</v>
      </c>
      <c r="B15" s="21" t="s">
        <v>11</v>
      </c>
      <c r="C15" s="21" t="s">
        <v>54</v>
      </c>
      <c r="D15" s="22">
        <v>40927</v>
      </c>
      <c r="E15" s="21">
        <v>2000</v>
      </c>
      <c r="F15" s="23">
        <v>0.5</v>
      </c>
      <c r="G15" s="29">
        <v>0</v>
      </c>
      <c r="H15" s="23" t="s">
        <v>61</v>
      </c>
      <c r="I15" s="21" t="s">
        <v>12</v>
      </c>
      <c r="J15" s="22">
        <f>WORKDAY(NC[[#This Row],[DATA]],IF(['[A/O']]="A",3,1))</f>
        <v>40932</v>
      </c>
      <c r="K15" s="21">
        <f>EOMONTH(NC[[#This Row],[D LIQUID]],0)</f>
        <v>40939</v>
      </c>
      <c r="L15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15" s="23">
        <f>[QTDE]*[PREÇO]+[CORREÇÃO]</f>
        <v>1000</v>
      </c>
      <c r="N15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-1000</v>
      </c>
      <c r="O15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0.27</v>
      </c>
      <c r="P15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7.0000000000000007E-2</v>
      </c>
      <c r="Q15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15" s="23">
        <f>SETUP!$E$3*SUMPRODUCT(N([DATA]=NC[[#This Row],[DATA]]),N([ID]&lt;=NC[[#This Row],[ID]]))</f>
        <v>14.9</v>
      </c>
      <c r="S15" s="23">
        <f>TRUNC([CORR. BASE]*SETUP!$F$3,2)</f>
        <v>0.28999999999999998</v>
      </c>
      <c r="T15" s="23">
        <f>TRUNC([CORR. BASE]*SETUP!$G$3,2)</f>
        <v>0.57999999999999996</v>
      </c>
      <c r="U15" s="23">
        <f>[VL LIQUID]-[TX LIQUID]-[EMOL]-[REGISTRO]-[CORR. BASE]-[ISS]-[OUTRAS]</f>
        <v>-1016.11</v>
      </c>
      <c r="V15" s="23">
        <f>[LÍQUIDO]-SUMPRODUCT(N([DATA]=NC[[#This Row],[DATA]]),N([ID]=(NC[[#This Row],[ID]]-1)),[LÍQUIDO])</f>
        <v>-1016.11</v>
      </c>
      <c r="W15" s="23">
        <f t="shared" si="0"/>
        <v>0.50805500000000003</v>
      </c>
      <c r="X15" s="23">
        <f>TRUNC(IF(OR([OPER/TIPO]="CV",[OPER/TIPO]="VV"),     M15*SETUP!$H$3,     0),2)</f>
        <v>0</v>
      </c>
      <c r="Y15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2000</v>
      </c>
      <c r="Z15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0.50805500000000003</v>
      </c>
      <c r="AA15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15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15" s="29">
        <f>IF(['[A/O']]="O",[LUCRO OP]*0.15,0)</f>
        <v>0</v>
      </c>
      <c r="AD15" s="28">
        <f>[LUCRO OP]/ABS([VALOR P/ OP])</f>
        <v>0</v>
      </c>
      <c r="AE15" s="23">
        <f>SUMPRODUCT(N(YEAR([D LIQUID])=YEAR(NC[[#This Row],[D LIQUID]])),N(MONTH([D LIQUID])=MONTH(NC[[#This Row],[D LIQUID]])),N(['[D/N']]="N"),[LUCRO OP])</f>
        <v>-324.88500000000062</v>
      </c>
      <c r="AF15" s="23">
        <f>SUMPRODUCT(N(YEAR([D LIQUID])=YEAR(NC[[#This Row],[D LIQUID]])),N(MONTH([D LIQUID])=MONTH(NC[[#This Row],[D LIQUID]])),N(['[D/N']]="D"),[LUCRO OP])</f>
        <v>0</v>
      </c>
      <c r="AG15" s="23">
        <f>[LUCRO N '[A']]+[LUCRO D]</f>
        <v>-324.88500000000062</v>
      </c>
      <c r="AH15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6" spans="1:34" s="21" customFormat="1">
      <c r="A16" s="21">
        <v>15</v>
      </c>
      <c r="B16" s="21" t="s">
        <v>23</v>
      </c>
      <c r="C16" s="21" t="s">
        <v>55</v>
      </c>
      <c r="D16" s="22">
        <v>40932</v>
      </c>
      <c r="E16" s="21">
        <v>100</v>
      </c>
      <c r="F16" s="23">
        <v>7.89</v>
      </c>
      <c r="G16" s="29">
        <v>0</v>
      </c>
      <c r="H16" s="23" t="s">
        <v>61</v>
      </c>
      <c r="I16" s="21" t="s">
        <v>12</v>
      </c>
      <c r="J16" s="22">
        <f>WORKDAY(NC[[#This Row],[DATA]],IF(['[A/O']]="A",3,1))</f>
        <v>40935</v>
      </c>
      <c r="K16" s="21">
        <f>EOMONTH(NC[[#This Row],[D LIQUID]],0)</f>
        <v>40939</v>
      </c>
      <c r="L16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16" s="23">
        <f>[QTDE]*[PREÇO]+[CORREÇÃO]</f>
        <v>789</v>
      </c>
      <c r="N16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789</v>
      </c>
      <c r="O16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0.21</v>
      </c>
      <c r="P16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0.05</v>
      </c>
      <c r="Q16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16" s="23">
        <f>SETUP!$E$3*SUMPRODUCT(N([DATA]=NC[[#This Row],[DATA]]),N([ID]&lt;=NC[[#This Row],[ID]]))</f>
        <v>14.9</v>
      </c>
      <c r="S16" s="23">
        <f>TRUNC([CORR. BASE]*SETUP!$F$3,2)</f>
        <v>0.28999999999999998</v>
      </c>
      <c r="T16" s="23">
        <f>TRUNC([CORR. BASE]*SETUP!$G$3,2)</f>
        <v>0.57999999999999996</v>
      </c>
      <c r="U16" s="23">
        <f>[VL LIQUID]-[TX LIQUID]-[EMOL]-[REGISTRO]-[CORR. BASE]-[ISS]-[OUTRAS]</f>
        <v>772.97</v>
      </c>
      <c r="V16" s="23">
        <f>[LÍQUIDO]-SUMPRODUCT(N([DATA]=NC[[#This Row],[DATA]]),N([ID]=(NC[[#This Row],[ID]]-1)),[LÍQUIDO])</f>
        <v>772.97</v>
      </c>
      <c r="W16" s="23">
        <f t="shared" si="0"/>
        <v>7.7297000000000002</v>
      </c>
      <c r="X16" s="23">
        <f>TRUNC(IF(OR([OPER/TIPO]="CV",[OPER/TIPO]="VV"),     M16*SETUP!$H$3,     0),2)</f>
        <v>0.03</v>
      </c>
      <c r="Y16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16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8.6104999999999983</v>
      </c>
      <c r="AA16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7.7297000000000002</v>
      </c>
      <c r="AB16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-88.079999999999799</v>
      </c>
      <c r="AC16" s="29">
        <f>IF(['[A/O']]="O",[LUCRO OP]*0.15,0)</f>
        <v>0</v>
      </c>
      <c r="AD16" s="28">
        <f>[LUCRO OP]/ABS([VALOR P/ OP])</f>
        <v>-0.11395008861922169</v>
      </c>
      <c r="AE16" s="23">
        <f>SUMPRODUCT(N(YEAR([D LIQUID])=YEAR(NC[[#This Row],[D LIQUID]])),N(MONTH([D LIQUID])=MONTH(NC[[#This Row],[D LIQUID]])),N(['[D/N']]="N"),[LUCRO OP])</f>
        <v>-324.88500000000062</v>
      </c>
      <c r="AF16" s="23">
        <f>SUMPRODUCT(N(YEAR([D LIQUID])=YEAR(NC[[#This Row],[D LIQUID]])),N(MONTH([D LIQUID])=MONTH(NC[[#This Row],[D LIQUID]])),N(['[D/N']]="D"),[LUCRO OP])</f>
        <v>0</v>
      </c>
      <c r="AG16" s="23">
        <f>[LUCRO N '[A']]+[LUCRO D]</f>
        <v>-324.88500000000062</v>
      </c>
      <c r="AH16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7" spans="1:34" s="21" customFormat="1">
      <c r="A17" s="21">
        <v>16</v>
      </c>
      <c r="B17" s="21" t="s">
        <v>27</v>
      </c>
      <c r="C17" s="21" t="s">
        <v>57</v>
      </c>
      <c r="D17" s="22">
        <v>40934</v>
      </c>
      <c r="E17" s="21">
        <v>300</v>
      </c>
      <c r="F17" s="23">
        <v>9.43</v>
      </c>
      <c r="G17" s="29">
        <v>0</v>
      </c>
      <c r="H17" s="23" t="s">
        <v>61</v>
      </c>
      <c r="I17" s="21" t="s">
        <v>12</v>
      </c>
      <c r="J17" s="22">
        <f>WORKDAY(NC[[#This Row],[DATA]],IF(['[A/O']]="A",3,1))</f>
        <v>40939</v>
      </c>
      <c r="K17" s="21">
        <f>EOMONTH(NC[[#This Row],[D LIQUID]],0)</f>
        <v>40939</v>
      </c>
      <c r="L17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17" s="23">
        <f>[QTDE]*[PREÇO]+[CORREÇÃO]</f>
        <v>2829</v>
      </c>
      <c r="N17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-2829</v>
      </c>
      <c r="O17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0.77</v>
      </c>
      <c r="P17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0.19</v>
      </c>
      <c r="Q17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17" s="23">
        <f>SETUP!$E$3*SUMPRODUCT(N([DATA]=NC[[#This Row],[DATA]]),N([ID]&lt;=NC[[#This Row],[ID]]))</f>
        <v>14.9</v>
      </c>
      <c r="S17" s="23">
        <f>TRUNC([CORR. BASE]*SETUP!$F$3,2)</f>
        <v>0.28999999999999998</v>
      </c>
      <c r="T17" s="23">
        <f>TRUNC([CORR. BASE]*SETUP!$G$3,2)</f>
        <v>0.57999999999999996</v>
      </c>
      <c r="U17" s="23">
        <f>[VL LIQUID]-[TX LIQUID]-[EMOL]-[REGISTRO]-[CORR. BASE]-[ISS]-[OUTRAS]</f>
        <v>-2845.73</v>
      </c>
      <c r="V17" s="23">
        <f>[LÍQUIDO]-SUMPRODUCT(N([DATA]=NC[[#This Row],[DATA]]),N([ID]=(NC[[#This Row],[ID]]-1)),[LÍQUIDO])</f>
        <v>-2845.73</v>
      </c>
      <c r="W17" s="23">
        <f t="shared" si="0"/>
        <v>9.4857666666666667</v>
      </c>
      <c r="X17" s="23">
        <f>TRUNC(IF(OR([OPER/TIPO]="CV",[OPER/TIPO]="VV"),     M17*SETUP!$H$3,     0),2)</f>
        <v>0</v>
      </c>
      <c r="Y17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17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9.4857666666666667</v>
      </c>
      <c r="AA17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8.9843666666666664</v>
      </c>
      <c r="AB17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-150.42000000000007</v>
      </c>
      <c r="AC17" s="29">
        <f>IF(['[A/O']]="O",[LUCRO OP]*0.15,0)</f>
        <v>0</v>
      </c>
      <c r="AD17" s="28">
        <f>[LUCRO OP]/ABS([VALOR P/ OP])</f>
        <v>-5.2858141847610306E-2</v>
      </c>
      <c r="AE17" s="23">
        <f>SUMPRODUCT(N(YEAR([D LIQUID])=YEAR(NC[[#This Row],[D LIQUID]])),N(MONTH([D LIQUID])=MONTH(NC[[#This Row],[D LIQUID]])),N(['[D/N']]="N"),[LUCRO OP])</f>
        <v>-324.88500000000062</v>
      </c>
      <c r="AF17" s="23">
        <f>SUMPRODUCT(N(YEAR([D LIQUID])=YEAR(NC[[#This Row],[D LIQUID]])),N(MONTH([D LIQUID])=MONTH(NC[[#This Row],[D LIQUID]])),N(['[D/N']]="D"),[LUCRO OP])</f>
        <v>0</v>
      </c>
      <c r="AG17" s="23">
        <f>[LUCRO N '[A']]+[LUCRO D]</f>
        <v>-324.88500000000062</v>
      </c>
      <c r="AH17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8" spans="1:34" s="21" customFormat="1">
      <c r="A18" s="21">
        <v>17</v>
      </c>
      <c r="B18" s="21" t="s">
        <v>28</v>
      </c>
      <c r="C18" s="21" t="s">
        <v>54</v>
      </c>
      <c r="D18" s="22">
        <v>40934</v>
      </c>
      <c r="E18" s="21">
        <v>2300</v>
      </c>
      <c r="F18" s="23">
        <v>0.43</v>
      </c>
      <c r="G18" s="29">
        <v>0</v>
      </c>
      <c r="H18" s="23" t="s">
        <v>61</v>
      </c>
      <c r="I18" s="21" t="s">
        <v>12</v>
      </c>
      <c r="J18" s="22">
        <f>WORKDAY(NC[[#This Row],[DATA]],IF(['[A/O']]="A",3,1))</f>
        <v>40939</v>
      </c>
      <c r="K18" s="21">
        <f>EOMONTH(NC[[#This Row],[D LIQUID]],0)</f>
        <v>40939</v>
      </c>
      <c r="L18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18" s="23">
        <f>[QTDE]*[PREÇO]+[CORREÇÃO]</f>
        <v>989</v>
      </c>
      <c r="N18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-3818</v>
      </c>
      <c r="O18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1.04</v>
      </c>
      <c r="P18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0.26</v>
      </c>
      <c r="Q18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18" s="23">
        <f>SETUP!$E$3*SUMPRODUCT(N([DATA]=NC[[#This Row],[DATA]]),N([ID]&lt;=NC[[#This Row],[ID]]))</f>
        <v>29.8</v>
      </c>
      <c r="S18" s="23">
        <f>TRUNC([CORR. BASE]*SETUP!$F$3,2)</f>
        <v>0.59</v>
      </c>
      <c r="T18" s="23">
        <f>TRUNC([CORR. BASE]*SETUP!$G$3,2)</f>
        <v>1.1599999999999999</v>
      </c>
      <c r="U18" s="23">
        <f>[VL LIQUID]-[TX LIQUID]-[EMOL]-[REGISTRO]-[CORR. BASE]-[ISS]-[OUTRAS]</f>
        <v>-3850.8500000000004</v>
      </c>
      <c r="V18" s="23">
        <f>[LÍQUIDO]-SUMPRODUCT(N([DATA]=NC[[#This Row],[DATA]]),N([ID]=(NC[[#This Row],[ID]]-1)),[LÍQUIDO])</f>
        <v>-1005.1200000000003</v>
      </c>
      <c r="W18" s="23">
        <f t="shared" si="0"/>
        <v>0.43700869565217404</v>
      </c>
      <c r="X18" s="23">
        <f>TRUNC(IF(OR([OPER/TIPO]="CV",[OPER/TIPO]="VV"),     M18*SETUP!$H$3,     0),2)</f>
        <v>0</v>
      </c>
      <c r="Y18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2300</v>
      </c>
      <c r="Z18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0.43700869565217404</v>
      </c>
      <c r="AA18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18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18" s="29">
        <f>IF(['[A/O']]="O",[LUCRO OP]*0.15,0)</f>
        <v>0</v>
      </c>
      <c r="AD18" s="28">
        <f>[LUCRO OP]/ABS([VALOR P/ OP])</f>
        <v>0</v>
      </c>
      <c r="AE18" s="23">
        <f>SUMPRODUCT(N(YEAR([D LIQUID])=YEAR(NC[[#This Row],[D LIQUID]])),N(MONTH([D LIQUID])=MONTH(NC[[#This Row],[D LIQUID]])),N(['[D/N']]="N"),[LUCRO OP])</f>
        <v>-324.88500000000062</v>
      </c>
      <c r="AF18" s="23">
        <f>SUMPRODUCT(N(YEAR([D LIQUID])=YEAR(NC[[#This Row],[D LIQUID]])),N(MONTH([D LIQUID])=MONTH(NC[[#This Row],[D LIQUID]])),N(['[D/N']]="D"),[LUCRO OP])</f>
        <v>0</v>
      </c>
      <c r="AG18" s="23">
        <f>[LUCRO N '[A']]+[LUCRO D]</f>
        <v>-324.88500000000062</v>
      </c>
      <c r="AH18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9" spans="1:34" s="21" customFormat="1">
      <c r="A19" s="21">
        <v>18</v>
      </c>
      <c r="B19" s="21" t="s">
        <v>25</v>
      </c>
      <c r="C19" s="21" t="s">
        <v>57</v>
      </c>
      <c r="D19" s="22">
        <v>40939</v>
      </c>
      <c r="E19" s="21">
        <v>200</v>
      </c>
      <c r="F19" s="23">
        <v>4.76</v>
      </c>
      <c r="G19" s="29">
        <v>0</v>
      </c>
      <c r="H19" s="23" t="s">
        <v>61</v>
      </c>
      <c r="I19" s="21" t="s">
        <v>12</v>
      </c>
      <c r="J19" s="22">
        <f>WORKDAY(NC[[#This Row],[DATA]],IF(['[A/O']]="A",3,1))</f>
        <v>40942</v>
      </c>
      <c r="K19" s="21">
        <f>EOMONTH(NC[[#This Row],[D LIQUID]],0)</f>
        <v>40968</v>
      </c>
      <c r="L19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19" s="23">
        <f>[QTDE]*[PREÇO]+[CORREÇÃO]</f>
        <v>952</v>
      </c>
      <c r="N19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-952</v>
      </c>
      <c r="O19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0.26</v>
      </c>
      <c r="P19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0.06</v>
      </c>
      <c r="Q19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19" s="23">
        <f>SETUP!$E$3*SUMPRODUCT(N([DATA]=NC[[#This Row],[DATA]]),N([ID]&lt;=NC[[#This Row],[ID]]))</f>
        <v>14.9</v>
      </c>
      <c r="S19" s="23">
        <f>TRUNC([CORR. BASE]*SETUP!$F$3,2)</f>
        <v>0.28999999999999998</v>
      </c>
      <c r="T19" s="23">
        <f>TRUNC([CORR. BASE]*SETUP!$G$3,2)</f>
        <v>0.57999999999999996</v>
      </c>
      <c r="U19" s="23">
        <f>[VL LIQUID]-[TX LIQUID]-[EMOL]-[REGISTRO]-[CORR. BASE]-[ISS]-[OUTRAS]</f>
        <v>-968.08999999999992</v>
      </c>
      <c r="V19" s="23">
        <f>[LÍQUIDO]-SUMPRODUCT(N([DATA]=NC[[#This Row],[DATA]]),N([ID]=(NC[[#This Row],[ID]]-1)),[LÍQUIDO])</f>
        <v>-968.08999999999992</v>
      </c>
      <c r="W19" s="23">
        <f t="shared" si="0"/>
        <v>4.8404499999999997</v>
      </c>
      <c r="X19" s="23">
        <f>TRUNC(IF(OR([OPER/TIPO]="CV",[OPER/TIPO]="VV"),     M19*SETUP!$H$3,     0),2)</f>
        <v>0</v>
      </c>
      <c r="Y19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19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4.8404499999999997</v>
      </c>
      <c r="AA19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4.1897500000000001</v>
      </c>
      <c r="AB19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-130.13999999999993</v>
      </c>
      <c r="AC19" s="29">
        <f>IF(['[A/O']]="O",[LUCRO OP]*0.15,0)</f>
        <v>0</v>
      </c>
      <c r="AD19" s="28">
        <f>[LUCRO OP]/ABS([VALOR P/ OP])</f>
        <v>-0.13442965013583441</v>
      </c>
      <c r="AE19" s="23">
        <f>SUMPRODUCT(N(YEAR([D LIQUID])=YEAR(NC[[#This Row],[D LIQUID]])),N(MONTH([D LIQUID])=MONTH(NC[[#This Row],[D LIQUID]])),N(['[D/N']]="N"),[LUCRO OP])</f>
        <v>-467.17999999999961</v>
      </c>
      <c r="AF19" s="23">
        <f>SUMPRODUCT(N(YEAR([D LIQUID])=YEAR(NC[[#This Row],[D LIQUID]])),N(MONTH([D LIQUID])=MONTH(NC[[#This Row],[D LIQUID]])),N(['[D/N']]="D"),[LUCRO OP])</f>
        <v>0</v>
      </c>
      <c r="AG19" s="23">
        <f>[LUCRO N '[A']]+[LUCRO D]</f>
        <v>-467.17999999999961</v>
      </c>
      <c r="AH19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3102</v>
      </c>
    </row>
    <row r="20" spans="1:34" s="21" customFormat="1">
      <c r="A20" s="21">
        <v>19</v>
      </c>
      <c r="B20" s="21" t="s">
        <v>26</v>
      </c>
      <c r="C20" s="21" t="s">
        <v>55</v>
      </c>
      <c r="D20" s="22">
        <v>40945</v>
      </c>
      <c r="E20" s="21">
        <v>300</v>
      </c>
      <c r="F20" s="23">
        <v>7.7</v>
      </c>
      <c r="G20" s="29">
        <v>0</v>
      </c>
      <c r="H20" s="23" t="s">
        <v>61</v>
      </c>
      <c r="I20" s="21" t="s">
        <v>12</v>
      </c>
      <c r="J20" s="22">
        <f>WORKDAY(NC[[#This Row],[DATA]],IF(['[A/O']]="A",3,1))</f>
        <v>40948</v>
      </c>
      <c r="K20" s="21">
        <f>EOMONTH(NC[[#This Row],[D LIQUID]],0)</f>
        <v>40968</v>
      </c>
      <c r="L20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20" s="23">
        <f>[QTDE]*[PREÇO]+[CORREÇÃO]</f>
        <v>2310</v>
      </c>
      <c r="N20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2310</v>
      </c>
      <c r="O20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0.63</v>
      </c>
      <c r="P20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0.16</v>
      </c>
      <c r="Q20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20" s="23">
        <f>SETUP!$E$3*SUMPRODUCT(N([DATA]=NC[[#This Row],[DATA]]),N([ID]&lt;=NC[[#This Row],[ID]]))</f>
        <v>14.9</v>
      </c>
      <c r="S20" s="23">
        <f>TRUNC([CORR. BASE]*SETUP!$F$3,2)</f>
        <v>0.28999999999999998</v>
      </c>
      <c r="T20" s="23">
        <f>TRUNC([CORR. BASE]*SETUP!$G$3,2)</f>
        <v>0.57999999999999996</v>
      </c>
      <c r="U20" s="23">
        <f>[VL LIQUID]-[TX LIQUID]-[EMOL]-[REGISTRO]-[CORR. BASE]-[ISS]-[OUTRAS]</f>
        <v>2293.44</v>
      </c>
      <c r="V20" s="23">
        <f>[LÍQUIDO]-SUMPRODUCT(N([DATA]=NC[[#This Row],[DATA]]),N([ID]=(NC[[#This Row],[ID]]-1)),[LÍQUIDO])</f>
        <v>2293.44</v>
      </c>
      <c r="W20" s="23">
        <f t="shared" si="0"/>
        <v>7.6448</v>
      </c>
      <c r="X20" s="23">
        <f>TRUNC(IF(OR([OPER/TIPO]="CV",[OPER/TIPO]="VV"),     M20*SETUP!$H$3,     0),2)</f>
        <v>0.11</v>
      </c>
      <c r="Y20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20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7.9152333333333322</v>
      </c>
      <c r="AA20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7.6448</v>
      </c>
      <c r="AB20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-81.129999999999654</v>
      </c>
      <c r="AC20" s="29">
        <f>IF(['[A/O']]="O",[LUCRO OP]*0.15,0)</f>
        <v>0</v>
      </c>
      <c r="AD20" s="28">
        <f>[LUCRO OP]/ABS([VALOR P/ OP])</f>
        <v>-3.5374808148458059E-2</v>
      </c>
      <c r="AE20" s="23">
        <f>SUMPRODUCT(N(YEAR([D LIQUID])=YEAR(NC[[#This Row],[D LIQUID]])),N(MONTH([D LIQUID])=MONTH(NC[[#This Row],[D LIQUID]])),N(['[D/N']]="N"),[LUCRO OP])</f>
        <v>-467.17999999999961</v>
      </c>
      <c r="AF20" s="23">
        <f>SUMPRODUCT(N(YEAR([D LIQUID])=YEAR(NC[[#This Row],[D LIQUID]])),N(MONTH([D LIQUID])=MONTH(NC[[#This Row],[D LIQUID]])),N(['[D/N']]="D"),[LUCRO OP])</f>
        <v>0</v>
      </c>
      <c r="AG20" s="23">
        <f>[LUCRO N '[A']]+[LUCRO D]</f>
        <v>-467.17999999999961</v>
      </c>
      <c r="AH20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3102</v>
      </c>
    </row>
    <row r="21" spans="1:34" s="21" customFormat="1">
      <c r="A21" s="21">
        <v>20</v>
      </c>
      <c r="B21" s="21" t="s">
        <v>28</v>
      </c>
      <c r="C21" s="21" t="s">
        <v>54</v>
      </c>
      <c r="D21" s="22">
        <v>40945</v>
      </c>
      <c r="E21" s="21">
        <v>3700</v>
      </c>
      <c r="F21" s="23">
        <v>0.37</v>
      </c>
      <c r="G21" s="29">
        <v>0</v>
      </c>
      <c r="H21" s="23" t="s">
        <v>61</v>
      </c>
      <c r="I21" s="21" t="s">
        <v>12</v>
      </c>
      <c r="J21" s="22">
        <f>WORKDAY(NC[[#This Row],[DATA]],IF(['[A/O']]="A",3,1))</f>
        <v>40948</v>
      </c>
      <c r="K21" s="21">
        <f>EOMONTH(NC[[#This Row],[D LIQUID]],0)</f>
        <v>40968</v>
      </c>
      <c r="L21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21" s="23">
        <f>[QTDE]*[PREÇO]+[CORREÇÃO]</f>
        <v>1369</v>
      </c>
      <c r="N21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941</v>
      </c>
      <c r="O21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1.01</v>
      </c>
      <c r="P21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0.25</v>
      </c>
      <c r="Q21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21" s="23">
        <f>SETUP!$E$3*SUMPRODUCT(N([DATA]=NC[[#This Row],[DATA]]),N([ID]&lt;=NC[[#This Row],[ID]]))</f>
        <v>29.8</v>
      </c>
      <c r="S21" s="23">
        <f>TRUNC([CORR. BASE]*SETUP!$F$3,2)</f>
        <v>0.59</v>
      </c>
      <c r="T21" s="23">
        <f>TRUNC([CORR. BASE]*SETUP!$G$3,2)</f>
        <v>1.1599999999999999</v>
      </c>
      <c r="U21" s="23">
        <f>[VL LIQUID]-[TX LIQUID]-[EMOL]-[REGISTRO]-[CORR. BASE]-[ISS]-[OUTRAS]</f>
        <v>908.19</v>
      </c>
      <c r="V21" s="23">
        <f>[LÍQUIDO]-SUMPRODUCT(N([DATA]=NC[[#This Row],[DATA]]),N([ID]=(NC[[#This Row],[ID]]-1)),[LÍQUIDO])</f>
        <v>-1385.25</v>
      </c>
      <c r="W21" s="23">
        <f t="shared" si="0"/>
        <v>0.37439189189189187</v>
      </c>
      <c r="X21" s="23">
        <f>TRUNC(IF(OR([OPER/TIPO]="CV",[OPER/TIPO]="VV"),     M21*SETUP!$H$3,     0),2)</f>
        <v>0</v>
      </c>
      <c r="Y21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6000</v>
      </c>
      <c r="Z21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0.39839500000000005</v>
      </c>
      <c r="AA21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21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21" s="29">
        <f>IF(['[A/O']]="O",[LUCRO OP]*0.15,0)</f>
        <v>0</v>
      </c>
      <c r="AD21" s="28">
        <f>[LUCRO OP]/ABS([VALOR P/ OP])</f>
        <v>0</v>
      </c>
      <c r="AE21" s="23">
        <f>SUMPRODUCT(N(YEAR([D LIQUID])=YEAR(NC[[#This Row],[D LIQUID]])),N(MONTH([D LIQUID])=MONTH(NC[[#This Row],[D LIQUID]])),N(['[D/N']]="N"),[LUCRO OP])</f>
        <v>-467.17999999999961</v>
      </c>
      <c r="AF21" s="23">
        <f>SUMPRODUCT(N(YEAR([D LIQUID])=YEAR(NC[[#This Row],[D LIQUID]])),N(MONTH([D LIQUID])=MONTH(NC[[#This Row],[D LIQUID]])),N(['[D/N']]="D"),[LUCRO OP])</f>
        <v>0</v>
      </c>
      <c r="AG21" s="23">
        <f>[LUCRO N '[A']]+[LUCRO D]</f>
        <v>-467.17999999999961</v>
      </c>
      <c r="AH21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3102</v>
      </c>
    </row>
    <row r="22" spans="1:34" s="21" customFormat="1">
      <c r="A22" s="21">
        <v>21</v>
      </c>
      <c r="B22" s="21" t="s">
        <v>29</v>
      </c>
      <c r="C22" s="21" t="s">
        <v>54</v>
      </c>
      <c r="D22" s="22">
        <v>40945</v>
      </c>
      <c r="E22" s="21">
        <v>500</v>
      </c>
      <c r="F22" s="23">
        <v>2.37</v>
      </c>
      <c r="G22" s="29">
        <v>0</v>
      </c>
      <c r="H22" s="23" t="s">
        <v>61</v>
      </c>
      <c r="I22" s="21" t="s">
        <v>12</v>
      </c>
      <c r="J22" s="22">
        <f>WORKDAY(NC[[#This Row],[DATA]],IF(['[A/O']]="A",3,1))</f>
        <v>40948</v>
      </c>
      <c r="K22" s="21">
        <f>EOMONTH(NC[[#This Row],[D LIQUID]],0)</f>
        <v>40968</v>
      </c>
      <c r="L22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22" s="23">
        <f>[QTDE]*[PREÇO]+[CORREÇÃO]</f>
        <v>1185</v>
      </c>
      <c r="N22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-244</v>
      </c>
      <c r="O22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1.33</v>
      </c>
      <c r="P22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0.34</v>
      </c>
      <c r="Q22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22" s="23">
        <f>SETUP!$E$3*SUMPRODUCT(N([DATA]=NC[[#This Row],[DATA]]),N([ID]&lt;=NC[[#This Row],[ID]]))</f>
        <v>44.7</v>
      </c>
      <c r="S22" s="23">
        <f>TRUNC([CORR. BASE]*SETUP!$F$3,2)</f>
        <v>0.89</v>
      </c>
      <c r="T22" s="23">
        <f>TRUNC([CORR. BASE]*SETUP!$G$3,2)</f>
        <v>1.74</v>
      </c>
      <c r="U22" s="23">
        <f>[VL LIQUID]-[TX LIQUID]-[EMOL]-[REGISTRO]-[CORR. BASE]-[ISS]-[OUTRAS]</f>
        <v>-293</v>
      </c>
      <c r="V22" s="23">
        <f>[LÍQUIDO]-SUMPRODUCT(N([DATA]=NC[[#This Row],[DATA]]),N([ID]=(NC[[#This Row],[ID]]-1)),[LÍQUIDO])</f>
        <v>-1201.19</v>
      </c>
      <c r="W22" s="23">
        <f t="shared" si="0"/>
        <v>2.40238</v>
      </c>
      <c r="X22" s="23">
        <f>TRUNC(IF(OR([OPER/TIPO]="CV",[OPER/TIPO]="VV"),     M22*SETUP!$H$3,     0),2)</f>
        <v>0</v>
      </c>
      <c r="Y22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500</v>
      </c>
      <c r="Z22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2.40238</v>
      </c>
      <c r="AA22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22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22" s="29">
        <f>IF(['[A/O']]="O",[LUCRO OP]*0.15,0)</f>
        <v>0</v>
      </c>
      <c r="AD22" s="28">
        <f>[LUCRO OP]/ABS([VALOR P/ OP])</f>
        <v>0</v>
      </c>
      <c r="AE22" s="23">
        <f>SUMPRODUCT(N(YEAR([D LIQUID])=YEAR(NC[[#This Row],[D LIQUID]])),N(MONTH([D LIQUID])=MONTH(NC[[#This Row],[D LIQUID]])),N(['[D/N']]="N"),[LUCRO OP])</f>
        <v>-467.17999999999961</v>
      </c>
      <c r="AF22" s="23">
        <f>SUMPRODUCT(N(YEAR([D LIQUID])=YEAR(NC[[#This Row],[D LIQUID]])),N(MONTH([D LIQUID])=MONTH(NC[[#This Row],[D LIQUID]])),N(['[D/N']]="D"),[LUCRO OP])</f>
        <v>0</v>
      </c>
      <c r="AG22" s="23">
        <f>[LUCRO N '[A']]+[LUCRO D]</f>
        <v>-467.17999999999961</v>
      </c>
      <c r="AH22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3102</v>
      </c>
    </row>
    <row r="23" spans="1:34" s="21" customFormat="1">
      <c r="A23" s="21">
        <v>22</v>
      </c>
      <c r="B23" s="21" t="s">
        <v>11</v>
      </c>
      <c r="C23" s="21" t="s">
        <v>55</v>
      </c>
      <c r="D23" s="22">
        <v>40948</v>
      </c>
      <c r="E23" s="21">
        <v>1600</v>
      </c>
      <c r="F23" s="23">
        <v>0.4</v>
      </c>
      <c r="G23" s="29">
        <v>0</v>
      </c>
      <c r="H23" s="23" t="s">
        <v>61</v>
      </c>
      <c r="I23" s="21" t="s">
        <v>12</v>
      </c>
      <c r="J23" s="22">
        <f>WORKDAY(NC[[#This Row],[DATA]],IF(['[A/O']]="A",3,1))</f>
        <v>40953</v>
      </c>
      <c r="K23" s="21">
        <f>EOMONTH(NC[[#This Row],[D LIQUID]],0)</f>
        <v>40968</v>
      </c>
      <c r="L23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23" s="23">
        <f>[QTDE]*[PREÇO]+[CORREÇÃO]</f>
        <v>640</v>
      </c>
      <c r="N23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640</v>
      </c>
      <c r="O23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0.17</v>
      </c>
      <c r="P23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0.04</v>
      </c>
      <c r="Q23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23" s="23">
        <f>SETUP!$E$3*SUMPRODUCT(N([DATA]=NC[[#This Row],[DATA]]),N([ID]&lt;=NC[[#This Row],[ID]]))</f>
        <v>14.9</v>
      </c>
      <c r="S23" s="23">
        <f>TRUNC([CORR. BASE]*SETUP!$F$3,2)</f>
        <v>0.28999999999999998</v>
      </c>
      <c r="T23" s="23">
        <f>TRUNC([CORR. BASE]*SETUP!$G$3,2)</f>
        <v>0.57999999999999996</v>
      </c>
      <c r="U23" s="23">
        <f>[VL LIQUID]-[TX LIQUID]-[EMOL]-[REGISTRO]-[CORR. BASE]-[ISS]-[OUTRAS]</f>
        <v>624.0200000000001</v>
      </c>
      <c r="V23" s="23">
        <f>[LÍQUIDO]-SUMPRODUCT(N([DATA]=NC[[#This Row],[DATA]]),N([ID]=(NC[[#This Row],[ID]]-1)),[LÍQUIDO])</f>
        <v>624.0200000000001</v>
      </c>
      <c r="W23" s="23">
        <f t="shared" si="0"/>
        <v>0.39001250000000004</v>
      </c>
      <c r="X23" s="23">
        <f>TRUNC(IF(OR([OPER/TIPO]="CV",[OPER/TIPO]="VV"),     M23*SETUP!$H$3,     0),2)</f>
        <v>0.03</v>
      </c>
      <c r="Y23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400</v>
      </c>
      <c r="Z23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0.50805500000000003</v>
      </c>
      <c r="AA23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0.39001250000000004</v>
      </c>
      <c r="AB23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-188.86799999999999</v>
      </c>
      <c r="AC23" s="29">
        <f>IF(['[A/O']]="O",[LUCRO OP]*0.15,0)</f>
        <v>0</v>
      </c>
      <c r="AD23" s="28">
        <f>[LUCRO OP]/ABS([VALOR P/ OP])</f>
        <v>-0.30266337617384054</v>
      </c>
      <c r="AE23" s="23">
        <f>SUMPRODUCT(N(YEAR([D LIQUID])=YEAR(NC[[#This Row],[D LIQUID]])),N(MONTH([D LIQUID])=MONTH(NC[[#This Row],[D LIQUID]])),N(['[D/N']]="N"),[LUCRO OP])</f>
        <v>-467.17999999999961</v>
      </c>
      <c r="AF23" s="23">
        <f>SUMPRODUCT(N(YEAR([D LIQUID])=YEAR(NC[[#This Row],[D LIQUID]])),N(MONTH([D LIQUID])=MONTH(NC[[#This Row],[D LIQUID]])),N(['[D/N']]="D"),[LUCRO OP])</f>
        <v>0</v>
      </c>
      <c r="AG23" s="23">
        <f>[LUCRO N '[A']]+[LUCRO D]</f>
        <v>-467.17999999999961</v>
      </c>
      <c r="AH23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3102</v>
      </c>
    </row>
    <row r="24" spans="1:34" s="21" customFormat="1">
      <c r="A24" s="21">
        <v>23</v>
      </c>
      <c r="B24" s="21" t="s">
        <v>13</v>
      </c>
      <c r="C24" s="21" t="s">
        <v>54</v>
      </c>
      <c r="D24" s="22">
        <v>40948</v>
      </c>
      <c r="E24" s="21">
        <v>3000</v>
      </c>
      <c r="F24" s="23">
        <v>0.2</v>
      </c>
      <c r="G24" s="29">
        <v>0</v>
      </c>
      <c r="H24" s="23" t="s">
        <v>61</v>
      </c>
      <c r="I24" s="21" t="s">
        <v>12</v>
      </c>
      <c r="J24" s="22">
        <f>WORKDAY(NC[[#This Row],[DATA]],IF(['[A/O']]="A",3,1))</f>
        <v>40953</v>
      </c>
      <c r="K24" s="21">
        <f>EOMONTH(NC[[#This Row],[D LIQUID]],0)</f>
        <v>40968</v>
      </c>
      <c r="L24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24" s="23">
        <f>[QTDE]*[PREÇO]+[CORREÇÃO]</f>
        <v>600</v>
      </c>
      <c r="N24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40</v>
      </c>
      <c r="O24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0.34</v>
      </c>
      <c r="P24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0.08</v>
      </c>
      <c r="Q24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24" s="23">
        <f>SETUP!$E$3*SUMPRODUCT(N([DATA]=NC[[#This Row],[DATA]]),N([ID]&lt;=NC[[#This Row],[ID]]))</f>
        <v>29.8</v>
      </c>
      <c r="S24" s="23">
        <f>TRUNC([CORR. BASE]*SETUP!$F$3,2)</f>
        <v>0.59</v>
      </c>
      <c r="T24" s="23">
        <f>TRUNC([CORR. BASE]*SETUP!$G$3,2)</f>
        <v>1.1599999999999999</v>
      </c>
      <c r="U24" s="23">
        <f>[VL LIQUID]-[TX LIQUID]-[EMOL]-[REGISTRO]-[CORR. BASE]-[ISS]-[OUTRAS]</f>
        <v>8.0299999999999976</v>
      </c>
      <c r="V24" s="23">
        <f>[LÍQUIDO]-SUMPRODUCT(N([DATA]=NC[[#This Row],[DATA]]),N([ID]=(NC[[#This Row],[ID]]-1)),[LÍQUIDO])</f>
        <v>-615.99000000000012</v>
      </c>
      <c r="W24" s="23">
        <f t="shared" si="0"/>
        <v>0.20533000000000004</v>
      </c>
      <c r="X24" s="23">
        <f>TRUNC(IF(OR([OPER/TIPO]="CV",[OPER/TIPO]="VV"),     M24*SETUP!$H$3,     0),2)</f>
        <v>0</v>
      </c>
      <c r="Y24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3000</v>
      </c>
      <c r="Z24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0.20533000000000004</v>
      </c>
      <c r="AA24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24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24" s="29">
        <f>IF(['[A/O']]="O",[LUCRO OP]*0.15,0)</f>
        <v>0</v>
      </c>
      <c r="AD24" s="28">
        <f>[LUCRO OP]/ABS([VALOR P/ OP])</f>
        <v>0</v>
      </c>
      <c r="AE24" s="23">
        <f>SUMPRODUCT(N(YEAR([D LIQUID])=YEAR(NC[[#This Row],[D LIQUID]])),N(MONTH([D LIQUID])=MONTH(NC[[#This Row],[D LIQUID]])),N(['[D/N']]="N"),[LUCRO OP])</f>
        <v>-467.17999999999961</v>
      </c>
      <c r="AF24" s="23">
        <f>SUMPRODUCT(N(YEAR([D LIQUID])=YEAR(NC[[#This Row],[D LIQUID]])),N(MONTH([D LIQUID])=MONTH(NC[[#This Row],[D LIQUID]])),N(['[D/N']]="D"),[LUCRO OP])</f>
        <v>0</v>
      </c>
      <c r="AG24" s="23">
        <f>[LUCRO N '[A']]+[LUCRO D]</f>
        <v>-467.17999999999961</v>
      </c>
      <c r="AH24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3102</v>
      </c>
    </row>
    <row r="25" spans="1:34" s="21" customFormat="1">
      <c r="A25" s="21">
        <v>24</v>
      </c>
      <c r="B25" s="21" t="s">
        <v>11</v>
      </c>
      <c r="C25" s="21" t="s">
        <v>55</v>
      </c>
      <c r="D25" s="22">
        <v>40962</v>
      </c>
      <c r="E25" s="21">
        <v>400</v>
      </c>
      <c r="F25" s="23">
        <v>0.38</v>
      </c>
      <c r="G25" s="29">
        <v>0</v>
      </c>
      <c r="H25" s="23" t="s">
        <v>61</v>
      </c>
      <c r="I25" s="21" t="s">
        <v>12</v>
      </c>
      <c r="J25" s="22">
        <f>WORKDAY(NC[[#This Row],[DATA]],IF(['[A/O']]="A",3,1))</f>
        <v>40967</v>
      </c>
      <c r="K25" s="21">
        <f>EOMONTH(NC[[#This Row],[D LIQUID]],0)</f>
        <v>40968</v>
      </c>
      <c r="L25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25" s="23">
        <f>[QTDE]*[PREÇO]+[CORREÇÃO]</f>
        <v>152</v>
      </c>
      <c r="N25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152</v>
      </c>
      <c r="O25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0.04</v>
      </c>
      <c r="P25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0.01</v>
      </c>
      <c r="Q25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25" s="23">
        <f>SETUP!$E$3*SUMPRODUCT(N([DATA]=NC[[#This Row],[DATA]]),N([ID]&lt;=NC[[#This Row],[ID]]))</f>
        <v>14.9</v>
      </c>
      <c r="S25" s="23">
        <f>TRUNC([CORR. BASE]*SETUP!$F$3,2)</f>
        <v>0.28999999999999998</v>
      </c>
      <c r="T25" s="23">
        <f>TRUNC([CORR. BASE]*SETUP!$G$3,2)</f>
        <v>0.57999999999999996</v>
      </c>
      <c r="U25" s="23">
        <f>[VL LIQUID]-[TX LIQUID]-[EMOL]-[REGISTRO]-[CORR. BASE]-[ISS]-[OUTRAS]</f>
        <v>136.18</v>
      </c>
      <c r="V25" s="23">
        <f>[LÍQUIDO]-SUMPRODUCT(N([DATA]=NC[[#This Row],[DATA]]),N([ID]=(NC[[#This Row],[ID]]-1)),[LÍQUIDO])</f>
        <v>136.18</v>
      </c>
      <c r="W25" s="23">
        <f t="shared" si="0"/>
        <v>0.34045000000000003</v>
      </c>
      <c r="X25" s="23">
        <f>TRUNC(IF(OR([OPER/TIPO]="CV",[OPER/TIPO]="VV"),     M25*SETUP!$H$3,     0),2)</f>
        <v>0</v>
      </c>
      <c r="Y25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25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0.50805500000000003</v>
      </c>
      <c r="AA25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0.34045000000000003</v>
      </c>
      <c r="AB25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-67.042000000000002</v>
      </c>
      <c r="AC25" s="29">
        <f>IF(['[A/O']]="O",[LUCRO OP]*0.15,0)</f>
        <v>0</v>
      </c>
      <c r="AD25" s="28">
        <f>[LUCRO OP]/ABS([VALOR P/ OP])</f>
        <v>-0.49230430312821266</v>
      </c>
      <c r="AE25" s="23">
        <f>SUMPRODUCT(N(YEAR([D LIQUID])=YEAR(NC[[#This Row],[D LIQUID]])),N(MONTH([D LIQUID])=MONTH(NC[[#This Row],[D LIQUID]])),N(['[D/N']]="N"),[LUCRO OP])</f>
        <v>-467.17999999999961</v>
      </c>
      <c r="AF25" s="23">
        <f>SUMPRODUCT(N(YEAR([D LIQUID])=YEAR(NC[[#This Row],[D LIQUID]])),N(MONTH([D LIQUID])=MONTH(NC[[#This Row],[D LIQUID]])),N(['[D/N']]="D"),[LUCRO OP])</f>
        <v>0</v>
      </c>
      <c r="AG25" s="23">
        <f>[LUCRO N '[A']]+[LUCRO D]</f>
        <v>-467.17999999999961</v>
      </c>
      <c r="AH25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3102</v>
      </c>
    </row>
    <row r="26" spans="1:34" s="21" customFormat="1">
      <c r="A26" s="21">
        <v>25</v>
      </c>
      <c r="B26" s="21" t="s">
        <v>13</v>
      </c>
      <c r="C26" s="21" t="s">
        <v>55</v>
      </c>
      <c r="D26" s="22">
        <v>40967</v>
      </c>
      <c r="E26" s="21">
        <v>3000</v>
      </c>
      <c r="F26" s="23">
        <v>0.17</v>
      </c>
      <c r="G26" s="29">
        <v>0</v>
      </c>
      <c r="H26" s="23" t="s">
        <v>61</v>
      </c>
      <c r="I26" s="21" t="s">
        <v>12</v>
      </c>
      <c r="J26" s="22">
        <f>WORKDAY(NC[[#This Row],[DATA]],IF(['[A/O']]="A",3,1))</f>
        <v>40970</v>
      </c>
      <c r="K26" s="21">
        <f>EOMONTH(NC[[#This Row],[D LIQUID]],0)</f>
        <v>40999</v>
      </c>
      <c r="L26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26" s="23">
        <f>[QTDE]*[PREÇO]+[CORREÇÃO]</f>
        <v>510.00000000000006</v>
      </c>
      <c r="N26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510.00000000000006</v>
      </c>
      <c r="O26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0.14000000000000001</v>
      </c>
      <c r="P26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0.03</v>
      </c>
      <c r="Q26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26" s="23">
        <f>SETUP!$E$3*SUMPRODUCT(N([DATA]=NC[[#This Row],[DATA]]),N([ID]&lt;=NC[[#This Row],[ID]]))</f>
        <v>14.9</v>
      </c>
      <c r="S26" s="23">
        <f>TRUNC([CORR. BASE]*SETUP!$F$3,2)</f>
        <v>0.28999999999999998</v>
      </c>
      <c r="T26" s="23">
        <f>TRUNC([CORR. BASE]*SETUP!$G$3,2)</f>
        <v>0.57999999999999996</v>
      </c>
      <c r="U26" s="23">
        <f>[VL LIQUID]-[TX LIQUID]-[EMOL]-[REGISTRO]-[CORR. BASE]-[ISS]-[OUTRAS]</f>
        <v>494.06000000000012</v>
      </c>
      <c r="V26" s="23">
        <f>[LÍQUIDO]-SUMPRODUCT(N([DATA]=NC[[#This Row],[DATA]]),N([ID]=(NC[[#This Row],[ID]]-1)),[LÍQUIDO])</f>
        <v>494.06000000000012</v>
      </c>
      <c r="W26" s="23">
        <f t="shared" si="0"/>
        <v>0.1646866666666667</v>
      </c>
      <c r="X26" s="23">
        <f>TRUNC(IF(OR([OPER/TIPO]="CV",[OPER/TIPO]="VV"),     M26*SETUP!$H$3,     0),2)</f>
        <v>0.02</v>
      </c>
      <c r="Y26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26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0.20533000000000004</v>
      </c>
      <c r="AA26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0.1646866666666667</v>
      </c>
      <c r="AB26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-121.93</v>
      </c>
      <c r="AC26" s="29">
        <f>IF(['[A/O']]="O",[LUCRO OP]*0.15,0)</f>
        <v>0</v>
      </c>
      <c r="AD26" s="28">
        <f>[LUCRO OP]/ABS([VALOR P/ OP])</f>
        <v>-0.24679188762498477</v>
      </c>
      <c r="AE26" s="23">
        <f>SUMPRODUCT(N(YEAR([D LIQUID])=YEAR(NC[[#This Row],[D LIQUID]])),N(MONTH([D LIQUID])=MONTH(NC[[#This Row],[D LIQUID]])),N(['[D/N']]="N"),[LUCRO OP])</f>
        <v>-1347.6999999999994</v>
      </c>
      <c r="AF26" s="23">
        <f>SUMPRODUCT(N(YEAR([D LIQUID])=YEAR(NC[[#This Row],[D LIQUID]])),N(MONTH([D LIQUID])=MONTH(NC[[#This Row],[D LIQUID]])),N(['[D/N']]="D"),[LUCRO OP])</f>
        <v>0</v>
      </c>
      <c r="AG26" s="23">
        <f>[LUCRO N '[A']]+[LUCRO D]</f>
        <v>-1347.6999999999994</v>
      </c>
      <c r="AH26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27" spans="1:34" s="21" customFormat="1">
      <c r="A27" s="21">
        <v>26</v>
      </c>
      <c r="B27" s="21" t="s">
        <v>28</v>
      </c>
      <c r="C27" s="21" t="s">
        <v>55</v>
      </c>
      <c r="D27" s="22">
        <v>40967</v>
      </c>
      <c r="E27" s="21">
        <v>3000</v>
      </c>
      <c r="F27" s="23">
        <v>0.27</v>
      </c>
      <c r="G27" s="29">
        <v>0</v>
      </c>
      <c r="H27" s="23" t="s">
        <v>61</v>
      </c>
      <c r="I27" s="21" t="s">
        <v>12</v>
      </c>
      <c r="J27" s="22">
        <f>WORKDAY(NC[[#This Row],[DATA]],IF(['[A/O']]="A",3,1))</f>
        <v>40970</v>
      </c>
      <c r="K27" s="21">
        <f>EOMONTH(NC[[#This Row],[D LIQUID]],0)</f>
        <v>40999</v>
      </c>
      <c r="L27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27" s="23">
        <f>[QTDE]*[PREÇO]+[CORREÇÃO]</f>
        <v>810</v>
      </c>
      <c r="N27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1320</v>
      </c>
      <c r="O27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0.36</v>
      </c>
      <c r="P27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0.09</v>
      </c>
      <c r="Q27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27" s="23">
        <f>SETUP!$E$3*SUMPRODUCT(N([DATA]=NC[[#This Row],[DATA]]),N([ID]&lt;=NC[[#This Row],[ID]]))</f>
        <v>29.8</v>
      </c>
      <c r="S27" s="23">
        <f>TRUNC([CORR. BASE]*SETUP!$F$3,2)</f>
        <v>0.59</v>
      </c>
      <c r="T27" s="23">
        <f>TRUNC([CORR. BASE]*SETUP!$G$3,2)</f>
        <v>1.1599999999999999</v>
      </c>
      <c r="U27" s="23">
        <f>[VL LIQUID]-[TX LIQUID]-[EMOL]-[REGISTRO]-[CORR. BASE]-[ISS]-[OUTRAS]</f>
        <v>1288.0000000000002</v>
      </c>
      <c r="V27" s="23">
        <f>[LÍQUIDO]-SUMPRODUCT(N([DATA]=NC[[#This Row],[DATA]]),N([ID]=(NC[[#This Row],[ID]]-1)),[LÍQUIDO])</f>
        <v>793.94</v>
      </c>
      <c r="W27" s="23">
        <f t="shared" si="0"/>
        <v>0.2646466666666667</v>
      </c>
      <c r="X27" s="23">
        <f>TRUNC(IF(OR([OPER/TIPO]="CV",[OPER/TIPO]="VV"),     M27*SETUP!$H$3,     0),2)</f>
        <v>0.04</v>
      </c>
      <c r="Y27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3000</v>
      </c>
      <c r="Z27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0.39839500000000005</v>
      </c>
      <c r="AA27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0.2646466666666667</v>
      </c>
      <c r="AB27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-401.24500000000006</v>
      </c>
      <c r="AC27" s="29">
        <f>IF(['[A/O']]="O",[LUCRO OP]*0.15,0)</f>
        <v>0</v>
      </c>
      <c r="AD27" s="28">
        <f>[LUCRO OP]/ABS([VALOR P/ OP])</f>
        <v>-0.50538453787439863</v>
      </c>
      <c r="AE27" s="23">
        <f>SUMPRODUCT(N(YEAR([D LIQUID])=YEAR(NC[[#This Row],[D LIQUID]])),N(MONTH([D LIQUID])=MONTH(NC[[#This Row],[D LIQUID]])),N(['[D/N']]="N"),[LUCRO OP])</f>
        <v>-1347.6999999999994</v>
      </c>
      <c r="AF27" s="23">
        <f>SUMPRODUCT(N(YEAR([D LIQUID])=YEAR(NC[[#This Row],[D LIQUID]])),N(MONTH([D LIQUID])=MONTH(NC[[#This Row],[D LIQUID]])),N(['[D/N']]="D"),[LUCRO OP])</f>
        <v>0</v>
      </c>
      <c r="AG27" s="23">
        <f>[LUCRO N '[A']]+[LUCRO D]</f>
        <v>-1347.6999999999994</v>
      </c>
      <c r="AH27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28" spans="1:34">
      <c r="A28" s="21">
        <v>27</v>
      </c>
      <c r="B28" s="21" t="s">
        <v>28</v>
      </c>
      <c r="C28" s="21" t="s">
        <v>55</v>
      </c>
      <c r="D28" s="22">
        <v>40968</v>
      </c>
      <c r="E28" s="21">
        <v>3000</v>
      </c>
      <c r="F28" s="23">
        <v>0.25</v>
      </c>
      <c r="G28" s="29">
        <v>0</v>
      </c>
      <c r="H28" s="23" t="s">
        <v>61</v>
      </c>
      <c r="I28" s="21" t="s">
        <v>12</v>
      </c>
      <c r="J28" s="22">
        <f>WORKDAY(NC[[#This Row],[DATA]],IF(['[A/O']]="A",3,1))</f>
        <v>40973</v>
      </c>
      <c r="K28" s="21">
        <f>EOMONTH(NC[[#This Row],[D LIQUID]],0)</f>
        <v>40999</v>
      </c>
      <c r="L28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28" s="23">
        <f>[QTDE]*[PREÇO]+[CORREÇÃO]</f>
        <v>750</v>
      </c>
      <c r="N28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750</v>
      </c>
      <c r="O28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</v>
      </c>
      <c r="P28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0.05</v>
      </c>
      <c r="Q28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28" s="23">
        <f>SETUP!$E$3*SUMPRODUCT(N([DATA]=NC[[#This Row],[DATA]]),N([ID]&lt;=NC[[#This Row],[ID]]))</f>
        <v>14.9</v>
      </c>
      <c r="S28" s="23">
        <f>TRUNC([CORR. BASE]*SETUP!$F$3,2)</f>
        <v>0.28999999999999998</v>
      </c>
      <c r="T28" s="23">
        <f>TRUNC([CORR. BASE]*SETUP!$G$3,2)</f>
        <v>0.57999999999999996</v>
      </c>
      <c r="U28" s="23">
        <f>[VL LIQUID]-[TX LIQUID]-[EMOL]-[REGISTRO]-[CORR. BASE]-[ISS]-[OUTRAS]</f>
        <v>733.98</v>
      </c>
      <c r="V28" s="23">
        <f>[LÍQUIDO]-SUMPRODUCT(N([DATA]=NC[[#This Row],[DATA]]),N([ID]=(NC[[#This Row],[ID]]-1)),[LÍQUIDO])</f>
        <v>733.98</v>
      </c>
      <c r="W28" s="23">
        <f t="shared" si="0"/>
        <v>0.24466000000000002</v>
      </c>
      <c r="X28" s="23">
        <f>TRUNC(IF(OR([OPER/TIPO]="CV",[OPER/TIPO]="VV"),     M28*SETUP!$H$3,     0),2)</f>
        <v>0.03</v>
      </c>
      <c r="Y28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28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0.39839500000000005</v>
      </c>
      <c r="AA28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0.24466000000000002</v>
      </c>
      <c r="AB28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-461.2050000000001</v>
      </c>
      <c r="AC28" s="29">
        <f>IF(['[A/O']]="O",[LUCRO OP]*0.15,0)</f>
        <v>0</v>
      </c>
      <c r="AD28" s="28">
        <f>[LUCRO OP]/ABS([VALOR P/ OP])</f>
        <v>-0.62836180822365739</v>
      </c>
      <c r="AE28" s="23">
        <f>SUMPRODUCT(N(YEAR([D LIQUID])=YEAR(NC[[#This Row],[D LIQUID]])),N(MONTH([D LIQUID])=MONTH(NC[[#This Row],[D LIQUID]])),N(['[D/N']]="N"),[LUCRO OP])</f>
        <v>-1347.6999999999994</v>
      </c>
      <c r="AF28" s="23">
        <f>SUMPRODUCT(N(YEAR([D LIQUID])=YEAR(NC[[#This Row],[D LIQUID]])),N(MONTH([D LIQUID])=MONTH(NC[[#This Row],[D LIQUID]])),N(['[D/N']]="D"),[LUCRO OP])</f>
        <v>0</v>
      </c>
      <c r="AG28" s="23">
        <f>[LUCRO N '[A']]+[LUCRO D]</f>
        <v>-1347.6999999999994</v>
      </c>
      <c r="AH28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29" spans="1:34">
      <c r="A29" s="21">
        <v>28</v>
      </c>
      <c r="B29" s="21" t="s">
        <v>39</v>
      </c>
      <c r="C29" s="21" t="s">
        <v>54</v>
      </c>
      <c r="D29" s="22">
        <v>40970</v>
      </c>
      <c r="E29" s="21">
        <v>500</v>
      </c>
      <c r="F29" s="23">
        <v>2.12</v>
      </c>
      <c r="G29" s="29">
        <v>0</v>
      </c>
      <c r="H29" s="23" t="s">
        <v>61</v>
      </c>
      <c r="I29" s="21" t="s">
        <v>12</v>
      </c>
      <c r="J29" s="22">
        <f>WORKDAY(NC[[#This Row],[DATA]],IF(['[A/O']]="A",3,1))</f>
        <v>40975</v>
      </c>
      <c r="K29" s="21">
        <f>EOMONTH(NC[[#This Row],[D LIQUID]],0)</f>
        <v>40999</v>
      </c>
      <c r="L29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29" s="23">
        <f>[QTDE]*[PREÇO]+[CORREÇÃO]</f>
        <v>1060</v>
      </c>
      <c r="N29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-1060</v>
      </c>
      <c r="O29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0.28999999999999998</v>
      </c>
      <c r="P29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7.0000000000000007E-2</v>
      </c>
      <c r="Q29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29" s="23">
        <f>SETUP!$E$3*SUMPRODUCT(N([DATA]=NC[[#This Row],[DATA]]),N([ID]&lt;=NC[[#This Row],[ID]]))</f>
        <v>14.9</v>
      </c>
      <c r="S29" s="23">
        <f>TRUNC([CORR. BASE]*SETUP!$F$3,2)</f>
        <v>0.28999999999999998</v>
      </c>
      <c r="T29" s="23">
        <f>TRUNC([CORR. BASE]*SETUP!$G$3,2)</f>
        <v>0.57999999999999996</v>
      </c>
      <c r="U29" s="23">
        <f>[VL LIQUID]-[TX LIQUID]-[EMOL]-[REGISTRO]-[CORR. BASE]-[ISS]-[OUTRAS]</f>
        <v>-1076.1299999999999</v>
      </c>
      <c r="V29" s="23">
        <f>[LÍQUIDO]-SUMPRODUCT(N([DATA]=NC[[#This Row],[DATA]]),N([ID]=(NC[[#This Row],[ID]]-1)),[LÍQUIDO])</f>
        <v>-1076.1299999999999</v>
      </c>
      <c r="W29" s="23">
        <f t="shared" si="0"/>
        <v>2.1522599999999996</v>
      </c>
      <c r="X29" s="23">
        <f>TRUNC(IF(OR([OPER/TIPO]="CV",[OPER/TIPO]="VV"),     M29*SETUP!$H$3,     0),2)</f>
        <v>0</v>
      </c>
      <c r="Y29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500</v>
      </c>
      <c r="Z29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2.1522599999999996</v>
      </c>
      <c r="AA29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29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29" s="29">
        <f>IF(['[A/O']]="O",[LUCRO OP]*0.15,0)</f>
        <v>0</v>
      </c>
      <c r="AD29" s="28">
        <f>[LUCRO OP]/ABS([VALOR P/ OP])</f>
        <v>0</v>
      </c>
      <c r="AE29" s="23">
        <f>SUMPRODUCT(N(YEAR([D LIQUID])=YEAR(NC[[#This Row],[D LIQUID]])),N(MONTH([D LIQUID])=MONTH(NC[[#This Row],[D LIQUID]])),N(['[D/N']]="N"),[LUCRO OP])</f>
        <v>-1347.6999999999994</v>
      </c>
      <c r="AF29" s="23">
        <f>SUMPRODUCT(N(YEAR([D LIQUID])=YEAR(NC[[#This Row],[D LIQUID]])),N(MONTH([D LIQUID])=MONTH(NC[[#This Row],[D LIQUID]])),N(['[D/N']]="D"),[LUCRO OP])</f>
        <v>0</v>
      </c>
      <c r="AG29" s="23">
        <f>[LUCRO N '[A']]+[LUCRO D]</f>
        <v>-1347.6999999999994</v>
      </c>
      <c r="AH29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30" spans="1:34">
      <c r="A30" s="21">
        <v>29</v>
      </c>
      <c r="B30" s="21" t="s">
        <v>25</v>
      </c>
      <c r="C30" s="21" t="s">
        <v>54</v>
      </c>
      <c r="D30" s="22">
        <v>40970</v>
      </c>
      <c r="E30" s="21">
        <v>200</v>
      </c>
      <c r="F30" s="23">
        <v>4.95</v>
      </c>
      <c r="G30" s="29">
        <v>0</v>
      </c>
      <c r="H30" s="23" t="s">
        <v>61</v>
      </c>
      <c r="I30" s="21" t="s">
        <v>12</v>
      </c>
      <c r="J30" s="22">
        <f>WORKDAY(NC[[#This Row],[DATA]],IF(['[A/O']]="A",3,1))</f>
        <v>40975</v>
      </c>
      <c r="K30" s="21">
        <f>EOMONTH(NC[[#This Row],[D LIQUID]],0)</f>
        <v>40999</v>
      </c>
      <c r="L30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30" s="23">
        <f>[QTDE]*[PREÇO]+[CORREÇÃO]</f>
        <v>990</v>
      </c>
      <c r="N30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-2050</v>
      </c>
      <c r="O30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0.56000000000000005</v>
      </c>
      <c r="P30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0.14000000000000001</v>
      </c>
      <c r="Q30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30" s="23">
        <f>SETUP!$E$3*SUMPRODUCT(N([DATA]=NC[[#This Row],[DATA]]),N([ID]&lt;=NC[[#This Row],[ID]]))</f>
        <v>29.8</v>
      </c>
      <c r="S30" s="23">
        <f>TRUNC([CORR. BASE]*SETUP!$F$3,2)</f>
        <v>0.59</v>
      </c>
      <c r="T30" s="23">
        <f>TRUNC([CORR. BASE]*SETUP!$G$3,2)</f>
        <v>1.1599999999999999</v>
      </c>
      <c r="U30" s="23">
        <f>[VL LIQUID]-[TX LIQUID]-[EMOL]-[REGISTRO]-[CORR. BASE]-[ISS]-[OUTRAS]</f>
        <v>-2082.25</v>
      </c>
      <c r="V30" s="23">
        <f>[LÍQUIDO]-SUMPRODUCT(N([DATA]=NC[[#This Row],[DATA]]),N([ID]=(NC[[#This Row],[ID]]-1)),[LÍQUIDO])</f>
        <v>-1006.1200000000001</v>
      </c>
      <c r="W30" s="23">
        <f t="shared" si="0"/>
        <v>5.0306000000000006</v>
      </c>
      <c r="X30" s="23">
        <f>TRUNC(IF(OR([OPER/TIPO]="CV",[OPER/TIPO]="VV"),     M30*SETUP!$H$3,     0),2)</f>
        <v>0</v>
      </c>
      <c r="Y30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200</v>
      </c>
      <c r="Z30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5.0306000000000006</v>
      </c>
      <c r="AA30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30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30" s="29">
        <f>IF(['[A/O']]="O",[LUCRO OP]*0.15,0)</f>
        <v>0</v>
      </c>
      <c r="AD30" s="28">
        <f>[LUCRO OP]/ABS([VALOR P/ OP])</f>
        <v>0</v>
      </c>
      <c r="AE30" s="23">
        <f>SUMPRODUCT(N(YEAR([D LIQUID])=YEAR(NC[[#This Row],[D LIQUID]])),N(MONTH([D LIQUID])=MONTH(NC[[#This Row],[D LIQUID]])),N(['[D/N']]="N"),[LUCRO OP])</f>
        <v>-1347.6999999999994</v>
      </c>
      <c r="AF30" s="23">
        <f>SUMPRODUCT(N(YEAR([D LIQUID])=YEAR(NC[[#This Row],[D LIQUID]])),N(MONTH([D LIQUID])=MONTH(NC[[#This Row],[D LIQUID]])),N(['[D/N']]="D"),[LUCRO OP])</f>
        <v>0</v>
      </c>
      <c r="AG30" s="23">
        <f>[LUCRO N '[A']]+[LUCRO D]</f>
        <v>-1347.6999999999994</v>
      </c>
      <c r="AH30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31" spans="1:34">
      <c r="A31" s="21">
        <v>30</v>
      </c>
      <c r="B31" s="21" t="s">
        <v>39</v>
      </c>
      <c r="C31" s="21" t="s">
        <v>55</v>
      </c>
      <c r="D31" s="22">
        <v>40974</v>
      </c>
      <c r="E31" s="21">
        <v>500</v>
      </c>
      <c r="F31" s="23">
        <v>2.04</v>
      </c>
      <c r="G31" s="29">
        <v>0</v>
      </c>
      <c r="H31" s="23" t="s">
        <v>61</v>
      </c>
      <c r="I31" s="21" t="s">
        <v>12</v>
      </c>
      <c r="J31" s="22">
        <f>WORKDAY(NC[[#This Row],[DATA]],IF(['[A/O']]="A",3,1))</f>
        <v>40977</v>
      </c>
      <c r="K31" s="21">
        <f>EOMONTH(NC[[#This Row],[D LIQUID]],0)</f>
        <v>40999</v>
      </c>
      <c r="L31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31" s="23">
        <f>[QTDE]*[PREÇO]+[CORREÇÃO]</f>
        <v>1020</v>
      </c>
      <c r="N31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1020</v>
      </c>
      <c r="O31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0.28000000000000003</v>
      </c>
      <c r="P31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7.0000000000000007E-2</v>
      </c>
      <c r="Q31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31" s="23">
        <f>SETUP!$E$3*SUMPRODUCT(N([DATA]=NC[[#This Row],[DATA]]),N([ID]&lt;=NC[[#This Row],[ID]]))</f>
        <v>14.9</v>
      </c>
      <c r="S31" s="23">
        <f>TRUNC([CORR. BASE]*SETUP!$F$3,2)</f>
        <v>0.28999999999999998</v>
      </c>
      <c r="T31" s="23">
        <f>TRUNC([CORR. BASE]*SETUP!$G$3,2)</f>
        <v>0.57999999999999996</v>
      </c>
      <c r="U31" s="23">
        <f>[VL LIQUID]-[TX LIQUID]-[EMOL]-[REGISTRO]-[CORR. BASE]-[ISS]-[OUTRAS]</f>
        <v>1003.88</v>
      </c>
      <c r="V31" s="23">
        <f>[LÍQUIDO]-SUMPRODUCT(N([DATA]=NC[[#This Row],[DATA]]),N([ID]=(NC[[#This Row],[ID]]-1)),[LÍQUIDO])</f>
        <v>1003.88</v>
      </c>
      <c r="W31" s="23">
        <f t="shared" si="0"/>
        <v>2.0077600000000002</v>
      </c>
      <c r="X31" s="23">
        <f>TRUNC(IF(OR([OPER/TIPO]="CV",[OPER/TIPO]="VV"),     M31*SETUP!$H$3,     0),2)</f>
        <v>0.05</v>
      </c>
      <c r="Y31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31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2.1522599999999996</v>
      </c>
      <c r="AA31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2.0077600000000002</v>
      </c>
      <c r="AB31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-72.249999999999702</v>
      </c>
      <c r="AC31" s="29">
        <f>IF(['[A/O']]="O",[LUCRO OP]*0.15,0)</f>
        <v>0</v>
      </c>
      <c r="AD31" s="28">
        <f>[LUCRO OP]/ABS([VALOR P/ OP])</f>
        <v>-7.1970753476510843E-2</v>
      </c>
      <c r="AE31" s="23">
        <f>SUMPRODUCT(N(YEAR([D LIQUID])=YEAR(NC[[#This Row],[D LIQUID]])),N(MONTH([D LIQUID])=MONTH(NC[[#This Row],[D LIQUID]])),N(['[D/N']]="N"),[LUCRO OP])</f>
        <v>-1347.6999999999994</v>
      </c>
      <c r="AF31" s="23">
        <f>SUMPRODUCT(N(YEAR([D LIQUID])=YEAR(NC[[#This Row],[D LIQUID]])),N(MONTH([D LIQUID])=MONTH(NC[[#This Row],[D LIQUID]])),N(['[D/N']]="D"),[LUCRO OP])</f>
        <v>0</v>
      </c>
      <c r="AG31" s="23">
        <f>[LUCRO N '[A']]+[LUCRO D]</f>
        <v>-1347.6999999999994</v>
      </c>
      <c r="AH31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32" spans="1:34">
      <c r="A32" s="21">
        <v>31</v>
      </c>
      <c r="B32" s="21" t="s">
        <v>52</v>
      </c>
      <c r="C32" s="21" t="s">
        <v>56</v>
      </c>
      <c r="D32" s="22">
        <v>40976</v>
      </c>
      <c r="E32" s="21">
        <v>200</v>
      </c>
      <c r="F32" s="23">
        <v>6.37</v>
      </c>
      <c r="G32" s="29">
        <v>0</v>
      </c>
      <c r="H32" s="23" t="s">
        <v>61</v>
      </c>
      <c r="I32" s="21" t="s">
        <v>12</v>
      </c>
      <c r="J32" s="22">
        <f>WORKDAY(NC[[#This Row],[DATA]],IF(['[A/O']]="A",3,1))</f>
        <v>40981</v>
      </c>
      <c r="K32" s="21">
        <f>EOMONTH(NC[[#This Row],[D LIQUID]],0)</f>
        <v>40999</v>
      </c>
      <c r="L32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32" s="23">
        <f>[QTDE]*[PREÇO]+[CORREÇÃO]</f>
        <v>1274</v>
      </c>
      <c r="N32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1274</v>
      </c>
      <c r="O32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0.35</v>
      </c>
      <c r="P32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0.08</v>
      </c>
      <c r="Q32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32" s="23">
        <f>SETUP!$E$3*SUMPRODUCT(N([DATA]=NC[[#This Row],[DATA]]),N([ID]&lt;=NC[[#This Row],[ID]]))</f>
        <v>14.9</v>
      </c>
      <c r="S32" s="23">
        <f>TRUNC([CORR. BASE]*SETUP!$F$3,2)</f>
        <v>0.28999999999999998</v>
      </c>
      <c r="T32" s="23">
        <f>TRUNC([CORR. BASE]*SETUP!$G$3,2)</f>
        <v>0.57999999999999996</v>
      </c>
      <c r="U32" s="23">
        <f>[VL LIQUID]-[TX LIQUID]-[EMOL]-[REGISTRO]-[CORR. BASE]-[ISS]-[OUTRAS]</f>
        <v>1257.8000000000002</v>
      </c>
      <c r="V32" s="23">
        <f>[LÍQUIDO]-SUMPRODUCT(N([DATA]=NC[[#This Row],[DATA]]),N([ID]=(NC[[#This Row],[ID]]-1)),[LÍQUIDO])</f>
        <v>1257.8000000000002</v>
      </c>
      <c r="W32" s="23">
        <f t="shared" si="0"/>
        <v>6.2890000000000006</v>
      </c>
      <c r="X32" s="23">
        <f>TRUNC(IF(OR([OPER/TIPO]="CV",[OPER/TIPO]="VV"),     M32*SETUP!$H$3,     0),2)</f>
        <v>0.06</v>
      </c>
      <c r="Y32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-200</v>
      </c>
      <c r="Z32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32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6.2890000000000006</v>
      </c>
      <c r="AB32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32" s="29">
        <f>IF(['[A/O']]="O",[LUCRO OP]*0.15,0)</f>
        <v>0</v>
      </c>
      <c r="AD32" s="28">
        <f>[LUCRO OP]/ABS([VALOR P/ OP])</f>
        <v>0</v>
      </c>
      <c r="AE32" s="23">
        <f>SUMPRODUCT(N(YEAR([D LIQUID])=YEAR(NC[[#This Row],[D LIQUID]])),N(MONTH([D LIQUID])=MONTH(NC[[#This Row],[D LIQUID]])),N(['[D/N']]="N"),[LUCRO OP])</f>
        <v>-1347.6999999999994</v>
      </c>
      <c r="AF32" s="23">
        <f>SUMPRODUCT(N(YEAR([D LIQUID])=YEAR(NC[[#This Row],[D LIQUID]])),N(MONTH([D LIQUID])=MONTH(NC[[#This Row],[D LIQUID]])),N(['[D/N']]="D"),[LUCRO OP])</f>
        <v>0</v>
      </c>
      <c r="AG32" s="23">
        <f>[LUCRO N '[A']]+[LUCRO D]</f>
        <v>-1347.6999999999994</v>
      </c>
      <c r="AH32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33" spans="1:34">
      <c r="A33" s="30">
        <v>32</v>
      </c>
      <c r="B33" s="30" t="s">
        <v>52</v>
      </c>
      <c r="C33" s="30" t="s">
        <v>57</v>
      </c>
      <c r="D33" s="31">
        <v>40982</v>
      </c>
      <c r="E33" s="30">
        <v>200</v>
      </c>
      <c r="F33" s="32">
        <v>6.55</v>
      </c>
      <c r="G33" s="44">
        <v>0</v>
      </c>
      <c r="H33" s="32" t="s">
        <v>61</v>
      </c>
      <c r="I33" s="30" t="s">
        <v>12</v>
      </c>
      <c r="J33" s="31">
        <f>WORKDAY(NC[[#This Row],[DATA]],IF(['[A/O']]="A",3,1))</f>
        <v>40987</v>
      </c>
      <c r="K33" s="30">
        <f>EOMONTH(NC[[#This Row],[D LIQUID]],0)</f>
        <v>40999</v>
      </c>
      <c r="L33" s="30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33" s="32">
        <f>[QTDE]*[PREÇO]+[CORREÇÃO]</f>
        <v>1310</v>
      </c>
      <c r="N33" s="32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-1310</v>
      </c>
      <c r="O33" s="32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0.36</v>
      </c>
      <c r="P33" s="32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0.09</v>
      </c>
      <c r="Q33" s="32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33" s="32">
        <f>SETUP!$E$3*SUMPRODUCT(N([DATA]=NC[[#This Row],[DATA]]),N([ID]&lt;=NC[[#This Row],[ID]]))</f>
        <v>14.9</v>
      </c>
      <c r="S33" s="32">
        <f>TRUNC([CORR. BASE]*SETUP!$F$3,2)</f>
        <v>0.28999999999999998</v>
      </c>
      <c r="T33" s="32">
        <f>TRUNC([CORR. BASE]*SETUP!$G$3,2)</f>
        <v>0.57999999999999996</v>
      </c>
      <c r="U33" s="32">
        <f>[VL LIQUID]-[TX LIQUID]-[EMOL]-[REGISTRO]-[CORR. BASE]-[ISS]-[OUTRAS]</f>
        <v>-1326.2199999999998</v>
      </c>
      <c r="V33" s="32">
        <f>[LÍQUIDO]-SUMPRODUCT(N([DATA]=NC[[#This Row],[DATA]]),N([ID]=(NC[[#This Row],[ID]]-1)),[LÍQUIDO])</f>
        <v>-1326.2199999999998</v>
      </c>
      <c r="W33" s="32">
        <f t="shared" si="0"/>
        <v>6.6310999999999991</v>
      </c>
      <c r="X33" s="32">
        <f>TRUNC(IF(OR([OPER/TIPO]="CV",[OPER/TIPO]="VV"),     M33*SETUP!$H$3,     0),2)</f>
        <v>0</v>
      </c>
      <c r="Y33" s="30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33" s="33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6.6310999999999991</v>
      </c>
      <c r="AA33" s="33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6.2890000000000006</v>
      </c>
      <c r="AB33" s="32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-68.419999999999703</v>
      </c>
      <c r="AC33" s="34">
        <f>IF(['[A/O']]="O",[LUCRO OP]*0.15,0)</f>
        <v>0</v>
      </c>
      <c r="AD33" s="35">
        <f>[LUCRO OP]/ABS([VALOR P/ OP])</f>
        <v>-5.1590233897844784E-2</v>
      </c>
      <c r="AE33" s="32">
        <f>SUMPRODUCT(N(YEAR([D LIQUID])=YEAR(NC[[#This Row],[D LIQUID]])),N(MONTH([D LIQUID])=MONTH(NC[[#This Row],[D LIQUID]])),N(['[D/N']]="N"),[LUCRO OP])</f>
        <v>-1347.6999999999994</v>
      </c>
      <c r="AF33" s="32">
        <f>SUMPRODUCT(N(YEAR([D LIQUID])=YEAR(NC[[#This Row],[D LIQUID]])),N(MONTH([D LIQUID])=MONTH(NC[[#This Row],[D LIQUID]])),N(['[D/N']]="D"),[LUCRO OP])</f>
        <v>0</v>
      </c>
      <c r="AG33" s="32">
        <f>[LUCRO N '[A']]+[LUCRO D]</f>
        <v>-1347.6999999999994</v>
      </c>
      <c r="AH33" s="32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34" spans="1:34">
      <c r="A34" s="30">
        <v>33</v>
      </c>
      <c r="B34" s="30" t="s">
        <v>52</v>
      </c>
      <c r="C34" s="30" t="s">
        <v>56</v>
      </c>
      <c r="D34" s="31">
        <v>40983</v>
      </c>
      <c r="E34" s="30">
        <v>200</v>
      </c>
      <c r="F34" s="32">
        <v>6.37</v>
      </c>
      <c r="G34" s="44">
        <v>0</v>
      </c>
      <c r="H34" s="32" t="s">
        <v>61</v>
      </c>
      <c r="I34" s="30" t="s">
        <v>12</v>
      </c>
      <c r="J34" s="31">
        <f>WORKDAY(NC[[#This Row],[DATA]],IF(['[A/O']]="A",3,1))</f>
        <v>40988</v>
      </c>
      <c r="K34" s="30">
        <f>EOMONTH(NC[[#This Row],[D LIQUID]],0)</f>
        <v>40999</v>
      </c>
      <c r="L34" s="30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3</v>
      </c>
      <c r="M34" s="32">
        <f>[QTDE]*[PREÇO]+[CORREÇÃO]</f>
        <v>1274</v>
      </c>
      <c r="N34" s="32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1274</v>
      </c>
      <c r="O34" s="32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0.35</v>
      </c>
      <c r="P34" s="32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0.08</v>
      </c>
      <c r="Q34" s="32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34" s="32">
        <f>SETUP!$E$3*SUMPRODUCT(N([DATA]=NC[[#This Row],[DATA]]),N([ID]&lt;=NC[[#This Row],[ID]]))</f>
        <v>14.9</v>
      </c>
      <c r="S34" s="32">
        <f>TRUNC([CORR. BASE]*SETUP!$F$3,2)</f>
        <v>0.28999999999999998</v>
      </c>
      <c r="T34" s="32">
        <f>TRUNC([CORR. BASE]*SETUP!$G$3,2)</f>
        <v>0.57999999999999996</v>
      </c>
      <c r="U34" s="32">
        <f>[VL LIQUID]-[TX LIQUID]-[EMOL]-[REGISTRO]-[CORR. BASE]-[ISS]-[OUTRAS]</f>
        <v>1257.8000000000002</v>
      </c>
      <c r="V34" s="32">
        <f>[LÍQUIDO]-SUMPRODUCT(N([DATA]=NC[[#This Row],[DATA]]),N([ID]=(NC[[#This Row],[ID]]-1)),[LÍQUIDO])</f>
        <v>1257.8000000000002</v>
      </c>
      <c r="W34" s="32">
        <f t="shared" ref="W34:W51" si="1">ABS(V34)/E34</f>
        <v>6.2890000000000006</v>
      </c>
      <c r="X34" s="32">
        <f>TRUNC(IF(OR([OPER/TIPO]="CV",[OPER/TIPO]="VV"),     M34*SETUP!$H$3,     0),2)</f>
        <v>0.06</v>
      </c>
      <c r="Y34" s="30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-200</v>
      </c>
      <c r="Z34" s="33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34" s="33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6.2890000000000006</v>
      </c>
      <c r="AB34" s="32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34" s="34">
        <f>IF(['[A/O']]="O",[LUCRO OP]*0.15,0)</f>
        <v>0</v>
      </c>
      <c r="AD34" s="35">
        <f>[LUCRO OP]/ABS([VALOR P/ OP])</f>
        <v>0</v>
      </c>
      <c r="AE34" s="32">
        <f>SUMPRODUCT(N(YEAR([D LIQUID])=YEAR(NC[[#This Row],[D LIQUID]])),N(MONTH([D LIQUID])=MONTH(NC[[#This Row],[D LIQUID]])),N(['[D/N']]="N"),[LUCRO OP])</f>
        <v>-1347.6999999999994</v>
      </c>
      <c r="AF34" s="32">
        <f>SUMPRODUCT(N(YEAR([D LIQUID])=YEAR(NC[[#This Row],[D LIQUID]])),N(MONTH([D LIQUID])=MONTH(NC[[#This Row],[D LIQUID]])),N(['[D/N']]="D"),[LUCRO OP])</f>
        <v>0</v>
      </c>
      <c r="AG34" s="32">
        <f>[LUCRO N '[A']]+[LUCRO D]</f>
        <v>-1347.6999999999994</v>
      </c>
      <c r="AH34" s="32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35" spans="1:34">
      <c r="A35" s="21">
        <v>34</v>
      </c>
      <c r="B35" s="21" t="s">
        <v>52</v>
      </c>
      <c r="C35" s="21" t="s">
        <v>57</v>
      </c>
      <c r="D35" s="22">
        <v>40989</v>
      </c>
      <c r="E35" s="21">
        <v>200</v>
      </c>
      <c r="F35" s="23">
        <v>6.95</v>
      </c>
      <c r="G35" s="29">
        <v>0</v>
      </c>
      <c r="H35" s="23" t="s">
        <v>61</v>
      </c>
      <c r="I35" s="21" t="s">
        <v>12</v>
      </c>
      <c r="J35" s="22">
        <f>WORKDAY(NC[[#This Row],[DATA]],IF(['[A/O']]="A",3,1))</f>
        <v>40994</v>
      </c>
      <c r="K35" s="21">
        <f>EOMONTH(NC[[#This Row],[D LIQUID]],0)</f>
        <v>40999</v>
      </c>
      <c r="L35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3</v>
      </c>
      <c r="M35" s="23">
        <f>[QTDE]*[PREÇO]+[CORREÇÃO]</f>
        <v>1390</v>
      </c>
      <c r="N35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-1390</v>
      </c>
      <c r="O35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0.38</v>
      </c>
      <c r="P35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0.09</v>
      </c>
      <c r="Q35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35" s="23">
        <f>SETUP!$E$3*SUMPRODUCT(N([DATA]=NC[[#This Row],[DATA]]),N([ID]&lt;=NC[[#This Row],[ID]]))</f>
        <v>14.9</v>
      </c>
      <c r="S35" s="23">
        <f>TRUNC([CORR. BASE]*SETUP!$F$3,2)</f>
        <v>0.28999999999999998</v>
      </c>
      <c r="T35" s="23">
        <f>TRUNC([CORR. BASE]*SETUP!$G$3,2)</f>
        <v>0.57999999999999996</v>
      </c>
      <c r="U35" s="23">
        <f>[VL LIQUID]-[TX LIQUID]-[EMOL]-[REGISTRO]-[CORR. BASE]-[ISS]-[OUTRAS]</f>
        <v>-1406.24</v>
      </c>
      <c r="V35" s="23">
        <f>[LÍQUIDO]-SUMPRODUCT(N([DATA]=NC[[#This Row],[DATA]]),N([ID]=(NC[[#This Row],[ID]]-1)),[LÍQUIDO])</f>
        <v>-1406.24</v>
      </c>
      <c r="W35" s="23">
        <f t="shared" si="1"/>
        <v>7.0312000000000001</v>
      </c>
      <c r="X35" s="23">
        <f>TRUNC(IF(OR([OPER/TIPO]="CV",[OPER/TIPO]="VV"),     M35*SETUP!$H$3,     0),2)</f>
        <v>0</v>
      </c>
      <c r="Y35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35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7.0312000000000001</v>
      </c>
      <c r="AA35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6.2890000000000006</v>
      </c>
      <c r="AB35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-148.43999999999991</v>
      </c>
      <c r="AC35" s="36">
        <f>IF(['[A/O']]="O",[LUCRO OP]*0.15,0)</f>
        <v>0</v>
      </c>
      <c r="AD35" s="28">
        <f>[LUCRO OP]/ABS([VALOR P/ OP])</f>
        <v>-0.10555808396859705</v>
      </c>
      <c r="AE35" s="23">
        <f>SUMPRODUCT(N(YEAR([D LIQUID])=YEAR(NC[[#This Row],[D LIQUID]])),N(MONTH([D LIQUID])=MONTH(NC[[#This Row],[D LIQUID]])),N(['[D/N']]="N"),[LUCRO OP])</f>
        <v>-1347.6999999999994</v>
      </c>
      <c r="AF35" s="23">
        <f>SUMPRODUCT(N(YEAR([D LIQUID])=YEAR(NC[[#This Row],[D LIQUID]])),N(MONTH([D LIQUID])=MONTH(NC[[#This Row],[D LIQUID]])),N(['[D/N']]="D"),[LUCRO OP])</f>
        <v>0</v>
      </c>
      <c r="AG35" s="23">
        <f>[LUCRO N '[A']]+[LUCRO D]</f>
        <v>-1347.6999999999994</v>
      </c>
      <c r="AH35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36" spans="1:34">
      <c r="A36" s="21">
        <v>35</v>
      </c>
      <c r="B36" s="21" t="s">
        <v>25</v>
      </c>
      <c r="C36" s="21" t="s">
        <v>55</v>
      </c>
      <c r="D36" s="22">
        <v>40990</v>
      </c>
      <c r="E36" s="21">
        <v>200</v>
      </c>
      <c r="F36" s="23">
        <v>4.74</v>
      </c>
      <c r="G36" s="29">
        <v>0</v>
      </c>
      <c r="H36" s="23" t="s">
        <v>61</v>
      </c>
      <c r="I36" s="21" t="s">
        <v>12</v>
      </c>
      <c r="J36" s="22">
        <f>WORKDAY(NC[[#This Row],[DATA]],IF(['[A/O']]="A",3,1))</f>
        <v>40995</v>
      </c>
      <c r="K36" s="21">
        <f>EOMONTH(NC[[#This Row],[D LIQUID]],0)</f>
        <v>40999</v>
      </c>
      <c r="L36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36" s="23">
        <f>[QTDE]*[PREÇO]+[CORREÇÃO]</f>
        <v>948</v>
      </c>
      <c r="N36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948</v>
      </c>
      <c r="O36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0.26</v>
      </c>
      <c r="P36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0.06</v>
      </c>
      <c r="Q36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36" s="23">
        <f>SETUP!$E$3*SUMPRODUCT(N([DATA]=NC[[#This Row],[DATA]]),N([ID]&lt;=NC[[#This Row],[ID]]))</f>
        <v>14.9</v>
      </c>
      <c r="S36" s="23">
        <f>TRUNC([CORR. BASE]*SETUP!$F$3,2)</f>
        <v>0.28999999999999998</v>
      </c>
      <c r="T36" s="23">
        <f>TRUNC([CORR. BASE]*SETUP!$G$3,2)</f>
        <v>0.57999999999999996</v>
      </c>
      <c r="U36" s="23">
        <f>[VL LIQUID]-[TX LIQUID]-[EMOL]-[REGISTRO]-[CORR. BASE]-[ISS]-[OUTRAS]</f>
        <v>931.91000000000008</v>
      </c>
      <c r="V36" s="23">
        <f>[LÍQUIDO]-SUMPRODUCT(N([DATA]=NC[[#This Row],[DATA]]),N([ID]=(NC[[#This Row],[ID]]-1)),[LÍQUIDO])</f>
        <v>931.91000000000008</v>
      </c>
      <c r="W36" s="23">
        <f t="shared" si="1"/>
        <v>4.6595500000000003</v>
      </c>
      <c r="X36" s="23">
        <f>TRUNC(IF(OR([OPER/TIPO]="CV",[OPER/TIPO]="VV"),     M36*SETUP!$H$3,     0),2)</f>
        <v>0.04</v>
      </c>
      <c r="Y36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36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5.0306000000000006</v>
      </c>
      <c r="AA36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4.6595500000000003</v>
      </c>
      <c r="AB36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-74.210000000000065</v>
      </c>
      <c r="AC36" s="36">
        <f>IF(['[A/O']]="O",[LUCRO OP]*0.15,0)</f>
        <v>0</v>
      </c>
      <c r="AD36" s="28">
        <f>[LUCRO OP]/ABS([VALOR P/ OP])</f>
        <v>-7.9632153319526625E-2</v>
      </c>
      <c r="AE36" s="23">
        <f>SUMPRODUCT(N(YEAR([D LIQUID])=YEAR(NC[[#This Row],[D LIQUID]])),N(MONTH([D LIQUID])=MONTH(NC[[#This Row],[D LIQUID]])),N(['[D/N']]="N"),[LUCRO OP])</f>
        <v>-1347.6999999999994</v>
      </c>
      <c r="AF36" s="23">
        <f>SUMPRODUCT(N(YEAR([D LIQUID])=YEAR(NC[[#This Row],[D LIQUID]])),N(MONTH([D LIQUID])=MONTH(NC[[#This Row],[D LIQUID]])),N(['[D/N']]="D"),[LUCRO OP])</f>
        <v>0</v>
      </c>
      <c r="AG36" s="23">
        <f>[LUCRO N '[A']]+[LUCRO D]</f>
        <v>-1347.6999999999994</v>
      </c>
      <c r="AH36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37" spans="1:34">
      <c r="A37" s="30">
        <v>36</v>
      </c>
      <c r="B37" s="37" t="s">
        <v>66</v>
      </c>
      <c r="C37" s="37" t="s">
        <v>54</v>
      </c>
      <c r="D37" s="38">
        <v>41053</v>
      </c>
      <c r="E37" s="37">
        <v>400</v>
      </c>
      <c r="F37" s="39">
        <v>3.15</v>
      </c>
      <c r="G37" s="45">
        <v>0</v>
      </c>
      <c r="H37" s="39" t="s">
        <v>61</v>
      </c>
      <c r="I37" s="37" t="s">
        <v>21</v>
      </c>
      <c r="J37" s="38">
        <f>WORKDAY(NC[[#This Row],[DATA]],IF(['[A/O']]="A",3,1))</f>
        <v>41058</v>
      </c>
      <c r="K37" s="37">
        <f>EOMONTH(NC[[#This Row],[D LIQUID]],0)</f>
        <v>41060</v>
      </c>
      <c r="L37" s="37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0</v>
      </c>
      <c r="M37" s="39">
        <f>[QTDE]*[PREÇO]+[CORREÇÃO]</f>
        <v>1260</v>
      </c>
      <c r="N37" s="39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-1260</v>
      </c>
      <c r="O37" s="39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0.22</v>
      </c>
      <c r="P37" s="39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0.08</v>
      </c>
      <c r="Q37" s="39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37" s="39">
        <f>SETUP!$E$3*SUMPRODUCT(N([DATA]=NC[[#This Row],[DATA]]),N([ID]&lt;=NC[[#This Row],[ID]]))</f>
        <v>14.9</v>
      </c>
      <c r="S37" s="39">
        <f>TRUNC([CORR. BASE]*SETUP!$F$3,2)</f>
        <v>0.28999999999999998</v>
      </c>
      <c r="T37" s="39">
        <f>TRUNC([CORR. BASE]*SETUP!$G$3,2)</f>
        <v>0.57999999999999996</v>
      </c>
      <c r="U37" s="39">
        <f>[VL LIQUID]-[TX LIQUID]-[EMOL]-[REGISTRO]-[CORR. BASE]-[ISS]-[OUTRAS]</f>
        <v>-1276.07</v>
      </c>
      <c r="V37" s="39">
        <f>[LÍQUIDO]-SUMPRODUCT(N([DATA]=NC[[#This Row],[DATA]]),N([ID]=(NC[[#This Row],[ID]]-1)),[LÍQUIDO])</f>
        <v>-1276.07</v>
      </c>
      <c r="W37" s="39">
        <f t="shared" si="1"/>
        <v>3.190175</v>
      </c>
      <c r="X37" s="39">
        <f>TRUNC(IF(OR([OPER/TIPO]="CV",[OPER/TIPO]="VV"),     M37*SETUP!$H$3,     0),2)</f>
        <v>0</v>
      </c>
      <c r="Y37" s="37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37" s="40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37" s="40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37" s="39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37" s="41">
        <f>IF(['[A/O']]="O",[LUCRO OP]*0.15,0)</f>
        <v>0</v>
      </c>
      <c r="AD37" s="42">
        <f>[LUCRO OP]/ABS([VALOR P/ OP])</f>
        <v>0</v>
      </c>
      <c r="AE37" s="39">
        <f>SUMPRODUCT(N(YEAR([D LIQUID])=YEAR(NC[[#This Row],[D LIQUID]])),N(MONTH([D LIQUID])=MONTH(NC[[#This Row],[D LIQUID]])),N(['[D/N']]="N"),[LUCRO OP])</f>
        <v>0</v>
      </c>
      <c r="AF37" s="39">
        <f>SUMPRODUCT(N(YEAR([D LIQUID])=YEAR(NC[[#This Row],[D LIQUID]])),N(MONTH([D LIQUID])=MONTH(NC[[#This Row],[D LIQUID]])),N(['[D/N']]="D"),[LUCRO OP])</f>
        <v>71.8</v>
      </c>
      <c r="AG37" s="39">
        <f>[LUCRO N '[A']]+[LUCRO D]</f>
        <v>71.8</v>
      </c>
      <c r="AH37" s="39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5424</v>
      </c>
    </row>
    <row r="38" spans="1:34">
      <c r="A38" s="21">
        <v>37</v>
      </c>
      <c r="B38" s="37" t="s">
        <v>66</v>
      </c>
      <c r="C38" s="37" t="s">
        <v>55</v>
      </c>
      <c r="D38" s="38">
        <v>41053</v>
      </c>
      <c r="E38" s="37">
        <v>400</v>
      </c>
      <c r="F38" s="39">
        <v>3.41</v>
      </c>
      <c r="G38" s="45">
        <v>0</v>
      </c>
      <c r="H38" s="39" t="s">
        <v>61</v>
      </c>
      <c r="I38" s="37" t="s">
        <v>21</v>
      </c>
      <c r="J38" s="38">
        <f>WORKDAY(NC[[#This Row],[DATA]],IF(['[A/O']]="A",3,1))</f>
        <v>41058</v>
      </c>
      <c r="K38" s="37">
        <f>EOMONTH(NC[[#This Row],[D LIQUID]],0)</f>
        <v>41060</v>
      </c>
      <c r="L38" s="37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0</v>
      </c>
      <c r="M38" s="39">
        <f>[QTDE]*[PREÇO]+[CORREÇÃO]</f>
        <v>1364</v>
      </c>
      <c r="N38" s="39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104</v>
      </c>
      <c r="O38" s="39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0.47</v>
      </c>
      <c r="P38" s="39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0.18</v>
      </c>
      <c r="Q38" s="39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38" s="39">
        <f>SETUP!$E$3*SUMPRODUCT(N([DATA]=NC[[#This Row],[DATA]]),N([ID]&lt;=NC[[#This Row],[ID]]))</f>
        <v>29.8</v>
      </c>
      <c r="S38" s="39">
        <f>TRUNC([CORR. BASE]*SETUP!$F$3,2)</f>
        <v>0.59</v>
      </c>
      <c r="T38" s="39">
        <f>TRUNC([CORR. BASE]*SETUP!$G$3,2)</f>
        <v>1.1599999999999999</v>
      </c>
      <c r="U38" s="39">
        <f>[VL LIQUID]-[TX LIQUID]-[EMOL]-[REGISTRO]-[CORR. BASE]-[ISS]-[OUTRAS]</f>
        <v>71.8</v>
      </c>
      <c r="V38" s="39">
        <f>[LÍQUIDO]-SUMPRODUCT(N([DATA]=NC[[#This Row],[DATA]]),N([ID]=(NC[[#This Row],[ID]]-1)),[LÍQUIDO])</f>
        <v>1347.87</v>
      </c>
      <c r="W38" s="39">
        <f t="shared" si="1"/>
        <v>3.3696749999999995</v>
      </c>
      <c r="X38" s="39">
        <f>TRUNC(IF(OR([OPER/TIPO]="CV",[OPER/TIPO]="VV"),     M38*SETUP!$H$3,     0),2)</f>
        <v>0.06</v>
      </c>
      <c r="Y38" s="37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38" s="40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38" s="40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38" s="39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71.8</v>
      </c>
      <c r="AC38" s="41">
        <f>IF(['[A/O']]="O",[LUCRO OP]*0.15,0)</f>
        <v>0</v>
      </c>
      <c r="AD38" s="42">
        <f>[LUCRO OP]/ABS([VALOR P/ OP])</f>
        <v>5.3269232195983292E-2</v>
      </c>
      <c r="AE38" s="39">
        <f>SUMPRODUCT(N(YEAR([D LIQUID])=YEAR(NC[[#This Row],[D LIQUID]])),N(MONTH([D LIQUID])=MONTH(NC[[#This Row],[D LIQUID]])),N(['[D/N']]="N"),[LUCRO OP])</f>
        <v>0</v>
      </c>
      <c r="AF38" s="39">
        <f>SUMPRODUCT(N(YEAR([D LIQUID])=YEAR(NC[[#This Row],[D LIQUID]])),N(MONTH([D LIQUID])=MONTH(NC[[#This Row],[D LIQUID]])),N(['[D/N']]="D"),[LUCRO OP])</f>
        <v>71.8</v>
      </c>
      <c r="AG38" s="39">
        <f>[LUCRO N '[A']]+[LUCRO D]</f>
        <v>71.8</v>
      </c>
      <c r="AH38" s="39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5424</v>
      </c>
    </row>
    <row r="39" spans="1:34">
      <c r="A39" s="21">
        <v>38</v>
      </c>
      <c r="B39" s="37" t="s">
        <v>66</v>
      </c>
      <c r="C39" s="21" t="s">
        <v>56</v>
      </c>
      <c r="D39" s="38">
        <v>41057</v>
      </c>
      <c r="E39" s="37">
        <v>1000</v>
      </c>
      <c r="F39" s="39">
        <v>4.0599999999999996</v>
      </c>
      <c r="G39" s="45">
        <v>0</v>
      </c>
      <c r="H39" s="39" t="s">
        <v>61</v>
      </c>
      <c r="I39" s="21" t="s">
        <v>12</v>
      </c>
      <c r="J39" s="22">
        <f>WORKDAY(NC[[#This Row],[DATA]],IF(['[A/O']]="A",3,1))</f>
        <v>41060</v>
      </c>
      <c r="K39" s="21">
        <f>EOMONTH(NC[[#This Row],[D LIQUID]],0)</f>
        <v>41060</v>
      </c>
      <c r="L39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39" s="23">
        <f>[QTDE]*[PREÇO]+[CORREÇÃO]</f>
        <v>4059.9999999999995</v>
      </c>
      <c r="N39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4059.9999999999995</v>
      </c>
      <c r="O39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1.1100000000000001</v>
      </c>
      <c r="P39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0.28000000000000003</v>
      </c>
      <c r="Q39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39" s="23">
        <f>SETUP!$E$3*SUMPRODUCT(N([DATA]=NC[[#This Row],[DATA]]),N([ID]&lt;=NC[[#This Row],[ID]]))</f>
        <v>14.9</v>
      </c>
      <c r="S39" s="23">
        <f>TRUNC([CORR. BASE]*SETUP!$F$3,2)</f>
        <v>0.28999999999999998</v>
      </c>
      <c r="T39" s="23">
        <f>TRUNC([CORR. BASE]*SETUP!$G$3,2)</f>
        <v>0.57999999999999996</v>
      </c>
      <c r="U39" s="23">
        <f>[VL LIQUID]-[TX LIQUID]-[EMOL]-[REGISTRO]-[CORR. BASE]-[ISS]-[OUTRAS]</f>
        <v>4042.8399999999992</v>
      </c>
      <c r="V39" s="23">
        <f>[LÍQUIDO]-SUMPRODUCT(N([DATA]=NC[[#This Row],[DATA]]),N([ID]=(NC[[#This Row],[ID]]-1)),[LÍQUIDO])</f>
        <v>4042.8399999999992</v>
      </c>
      <c r="W39" s="23">
        <f t="shared" si="1"/>
        <v>4.0428399999999991</v>
      </c>
      <c r="X39" s="23">
        <f>TRUNC(IF(OR([OPER/TIPO]="CV",[OPER/TIPO]="VV"),     M39*SETUP!$H$3,     0),2)</f>
        <v>0.2</v>
      </c>
      <c r="Y39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-1000</v>
      </c>
      <c r="Z39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39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4.0428399999999991</v>
      </c>
      <c r="AB39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39" s="36">
        <f>IF(['[A/O']]="O",[LUCRO OP]*0.15,0)</f>
        <v>0</v>
      </c>
      <c r="AD39" s="28">
        <f>[LUCRO OP]/ABS([VALOR P/ OP])</f>
        <v>0</v>
      </c>
      <c r="AE39" s="23">
        <f>SUMPRODUCT(N(YEAR([D LIQUID])=YEAR(NC[[#This Row],[D LIQUID]])),N(MONTH([D LIQUID])=MONTH(NC[[#This Row],[D LIQUID]])),N(['[D/N']]="N"),[LUCRO OP])</f>
        <v>0</v>
      </c>
      <c r="AF39" s="23">
        <f>SUMPRODUCT(N(YEAR([D LIQUID])=YEAR(NC[[#This Row],[D LIQUID]])),N(MONTH([D LIQUID])=MONTH(NC[[#This Row],[D LIQUID]])),N(['[D/N']]="D"),[LUCRO OP])</f>
        <v>71.8</v>
      </c>
      <c r="AG39" s="23">
        <f>[LUCRO N '[A']]+[LUCRO D]</f>
        <v>71.8</v>
      </c>
      <c r="AH39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5424</v>
      </c>
    </row>
    <row r="40" spans="1:34">
      <c r="A40" s="30">
        <v>39</v>
      </c>
      <c r="B40" s="37" t="s">
        <v>66</v>
      </c>
      <c r="C40" s="21" t="s">
        <v>57</v>
      </c>
      <c r="D40" s="38">
        <v>41058</v>
      </c>
      <c r="E40" s="37">
        <v>500</v>
      </c>
      <c r="F40" s="39">
        <v>3.47</v>
      </c>
      <c r="G40" s="45">
        <v>0</v>
      </c>
      <c r="H40" s="39" t="s">
        <v>61</v>
      </c>
      <c r="I40" s="21" t="s">
        <v>12</v>
      </c>
      <c r="J40" s="22">
        <f>WORKDAY(NC[[#This Row],[DATA]],IF(['[A/O']]="A",3,1))</f>
        <v>41061</v>
      </c>
      <c r="K40" s="21">
        <f>EOMONTH(NC[[#This Row],[D LIQUID]],0)</f>
        <v>41090</v>
      </c>
      <c r="L40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40" s="23">
        <f>[QTDE]*[PREÇO]+[CORREÇÃO]</f>
        <v>1735</v>
      </c>
      <c r="N40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-1735</v>
      </c>
      <c r="O40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0.47</v>
      </c>
      <c r="P40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0.12</v>
      </c>
      <c r="Q40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40" s="23">
        <f>SETUP!$E$3*SUMPRODUCT(N([DATA]=NC[[#This Row],[DATA]]),N([ID]&lt;=NC[[#This Row],[ID]]))</f>
        <v>14.9</v>
      </c>
      <c r="S40" s="23">
        <f>TRUNC([CORR. BASE]*SETUP!$F$3,2)</f>
        <v>0.28999999999999998</v>
      </c>
      <c r="T40" s="23">
        <f>TRUNC([CORR. BASE]*SETUP!$G$3,2)</f>
        <v>0.57999999999999996</v>
      </c>
      <c r="U40" s="23">
        <f>[VL LIQUID]-[TX LIQUID]-[EMOL]-[REGISTRO]-[CORR. BASE]-[ISS]-[OUTRAS]</f>
        <v>-1751.36</v>
      </c>
      <c r="V40" s="23">
        <f>[LÍQUIDO]-SUMPRODUCT(N([DATA]=NC[[#This Row],[DATA]]),N([ID]=(NC[[#This Row],[ID]]-1)),[LÍQUIDO])</f>
        <v>-1751.36</v>
      </c>
      <c r="W40" s="23">
        <f t="shared" si="1"/>
        <v>3.5027199999999996</v>
      </c>
      <c r="X40" s="23">
        <f>TRUNC(IF(OR([OPER/TIPO]="CV",[OPER/TIPO]="VV"),     M40*SETUP!$H$3,     0),2)</f>
        <v>0</v>
      </c>
      <c r="Y40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-500</v>
      </c>
      <c r="Z40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3.5027199999999996</v>
      </c>
      <c r="AA40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4.0428399999999991</v>
      </c>
      <c r="AB40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270.05999999999972</v>
      </c>
      <c r="AC40" s="36">
        <f>IF(['[A/O']]="O",[LUCRO OP]*0.15,0)</f>
        <v>0</v>
      </c>
      <c r="AD40" s="28">
        <f>[LUCRO OP]/ABS([VALOR P/ OP])</f>
        <v>0.15420016444363221</v>
      </c>
      <c r="AE40" s="23">
        <f>SUMPRODUCT(N(YEAR([D LIQUID])=YEAR(NC[[#This Row],[D LIQUID]])),N(MONTH([D LIQUID])=MONTH(NC[[#This Row],[D LIQUID]])),N(['[D/N']]="N"),[LUCRO OP])</f>
        <v>134.37000000000242</v>
      </c>
      <c r="AF40" s="23">
        <f>SUMPRODUCT(N(YEAR([D LIQUID])=YEAR(NC[[#This Row],[D LIQUID]])),N(MONTH([D LIQUID])=MONTH(NC[[#This Row],[D LIQUID]])),N(['[D/N']]="D"),[LUCRO OP])</f>
        <v>-136.55000000000001</v>
      </c>
      <c r="AG40" s="23">
        <f>[LUCRO N '[A']]+[LUCRO D]</f>
        <v>-2.179999999997591</v>
      </c>
      <c r="AH40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19006</v>
      </c>
    </row>
    <row r="41" spans="1:34">
      <c r="A41" s="21">
        <v>40</v>
      </c>
      <c r="B41" s="37" t="s">
        <v>25</v>
      </c>
      <c r="C41" s="21" t="s">
        <v>56</v>
      </c>
      <c r="D41" s="38">
        <v>41060</v>
      </c>
      <c r="E41" s="37">
        <v>800</v>
      </c>
      <c r="F41" s="39">
        <v>2.46</v>
      </c>
      <c r="G41" s="45">
        <v>0</v>
      </c>
      <c r="H41" s="39" t="s">
        <v>61</v>
      </c>
      <c r="I41" s="21" t="s">
        <v>21</v>
      </c>
      <c r="J41" s="38">
        <f>WORKDAY(NC[[#This Row],[DATA]],IF(['[A/O']]="A",3,1))</f>
        <v>41065</v>
      </c>
      <c r="K41" s="37">
        <f>EOMONTH(NC[[#This Row],[D LIQUID]],0)</f>
        <v>41090</v>
      </c>
      <c r="L41" s="37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4</v>
      </c>
      <c r="M41" s="39">
        <f>[QTDE]*[PREÇO]+[CORREÇÃO]</f>
        <v>1968</v>
      </c>
      <c r="N41" s="39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1968</v>
      </c>
      <c r="O41" s="39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0.35</v>
      </c>
      <c r="P41" s="39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0.13</v>
      </c>
      <c r="Q41" s="39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41" s="39">
        <f>SETUP!$E$3*SUMPRODUCT(N([DATA]=NC[[#This Row],[DATA]]),N([ID]&lt;=NC[[#This Row],[ID]]))</f>
        <v>14.9</v>
      </c>
      <c r="S41" s="39">
        <f>TRUNC([CORR. BASE]*SETUP!$F$3,2)</f>
        <v>0.28999999999999998</v>
      </c>
      <c r="T41" s="39">
        <f>TRUNC([CORR. BASE]*SETUP!$G$3,2)</f>
        <v>0.57999999999999996</v>
      </c>
      <c r="U41" s="39">
        <f>[VL LIQUID]-[TX LIQUID]-[EMOL]-[REGISTRO]-[CORR. BASE]-[ISS]-[OUTRAS]</f>
        <v>1951.75</v>
      </c>
      <c r="V41" s="39">
        <f>[LÍQUIDO]-SUMPRODUCT(N([DATA]=NC[[#This Row],[DATA]]),N([ID]=(NC[[#This Row],[ID]]-1)),[LÍQUIDO])</f>
        <v>1951.75</v>
      </c>
      <c r="W41" s="39">
        <f t="shared" si="1"/>
        <v>2.4396874999999998</v>
      </c>
      <c r="X41" s="39">
        <f>TRUNC(IF(OR([OPER/TIPO]="CV",[OPER/TIPO]="VV"),     M41*SETUP!$H$3,     0),2)</f>
        <v>0.09</v>
      </c>
      <c r="Y41" s="37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41" s="40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41" s="40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41" s="39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41" s="41">
        <f>IF(['[A/O']]="O",[LUCRO OP]*0.15,0)</f>
        <v>0</v>
      </c>
      <c r="AD41" s="42">
        <f>[LUCRO OP]/ABS([VALOR P/ OP])</f>
        <v>0</v>
      </c>
      <c r="AE41" s="39">
        <f>SUMPRODUCT(N(YEAR([D LIQUID])=YEAR(NC[[#This Row],[D LIQUID]])),N(MONTH([D LIQUID])=MONTH(NC[[#This Row],[D LIQUID]])),N(['[D/N']]="N"),[LUCRO OP])</f>
        <v>134.37000000000242</v>
      </c>
      <c r="AF41" s="39">
        <f>SUMPRODUCT(N(YEAR([D LIQUID])=YEAR(NC[[#This Row],[D LIQUID]])),N(MONTH([D LIQUID])=MONTH(NC[[#This Row],[D LIQUID]])),N(['[D/N']]="D"),[LUCRO OP])</f>
        <v>-136.55000000000001</v>
      </c>
      <c r="AG41" s="39">
        <f>[LUCRO N '[A']]+[LUCRO D]</f>
        <v>-2.179999999997591</v>
      </c>
      <c r="AH41" s="39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19006</v>
      </c>
    </row>
    <row r="42" spans="1:34">
      <c r="A42" s="30">
        <v>41</v>
      </c>
      <c r="B42" s="37" t="s">
        <v>25</v>
      </c>
      <c r="C42" s="21" t="s">
        <v>57</v>
      </c>
      <c r="D42" s="38">
        <v>41060</v>
      </c>
      <c r="E42" s="37">
        <v>800</v>
      </c>
      <c r="F42" s="39">
        <v>2.59</v>
      </c>
      <c r="G42" s="45">
        <v>0</v>
      </c>
      <c r="H42" s="39" t="s">
        <v>61</v>
      </c>
      <c r="I42" s="21" t="s">
        <v>21</v>
      </c>
      <c r="J42" s="38">
        <f>WORKDAY(NC[[#This Row],[DATA]],IF(['[A/O']]="A",3,1))</f>
        <v>41065</v>
      </c>
      <c r="K42" s="37">
        <f>EOMONTH(NC[[#This Row],[D LIQUID]],0)</f>
        <v>41090</v>
      </c>
      <c r="L42" s="37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4</v>
      </c>
      <c r="M42" s="39">
        <f>[QTDE]*[PREÇO]+[CORREÇÃO]</f>
        <v>2072</v>
      </c>
      <c r="N42" s="39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-104</v>
      </c>
      <c r="O42" s="39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0.72</v>
      </c>
      <c r="P42" s="39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0.28000000000000003</v>
      </c>
      <c r="Q42" s="39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42" s="39">
        <f>SETUP!$E$3*SUMPRODUCT(N([DATA]=NC[[#This Row],[DATA]]),N([ID]&lt;=NC[[#This Row],[ID]]))</f>
        <v>29.8</v>
      </c>
      <c r="S42" s="39">
        <f>TRUNC([CORR. BASE]*SETUP!$F$3,2)</f>
        <v>0.59</v>
      </c>
      <c r="T42" s="39">
        <f>TRUNC([CORR. BASE]*SETUP!$G$3,2)</f>
        <v>1.1599999999999999</v>
      </c>
      <c r="U42" s="39">
        <f>[VL LIQUID]-[TX LIQUID]-[EMOL]-[REGISTRO]-[CORR. BASE]-[ISS]-[OUTRAS]</f>
        <v>-136.55000000000001</v>
      </c>
      <c r="V42" s="39">
        <f>[LÍQUIDO]-SUMPRODUCT(N([DATA]=NC[[#This Row],[DATA]]),N([ID]=(NC[[#This Row],[ID]]-1)),[LÍQUIDO])</f>
        <v>-2088.3000000000002</v>
      </c>
      <c r="W42" s="39">
        <f t="shared" si="1"/>
        <v>2.6103750000000003</v>
      </c>
      <c r="X42" s="39">
        <f>TRUNC(IF(OR([OPER/TIPO]="CV",[OPER/TIPO]="VV"),     M42*SETUP!$H$3,     0),2)</f>
        <v>0</v>
      </c>
      <c r="Y42" s="37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42" s="40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42" s="40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42" s="39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-136.55000000000001</v>
      </c>
      <c r="AC42" s="41">
        <f>IF(['[A/O']]="O",[LUCRO OP]*0.15,0)</f>
        <v>0</v>
      </c>
      <c r="AD42" s="42">
        <f>[LUCRO OP]/ABS([VALOR P/ OP])</f>
        <v>-6.5388114734473021E-2</v>
      </c>
      <c r="AE42" s="39">
        <f>SUMPRODUCT(N(YEAR([D LIQUID])=YEAR(NC[[#This Row],[D LIQUID]])),N(MONTH([D LIQUID])=MONTH(NC[[#This Row],[D LIQUID]])),N(['[D/N']]="N"),[LUCRO OP])</f>
        <v>134.37000000000242</v>
      </c>
      <c r="AF42" s="39">
        <f>SUMPRODUCT(N(YEAR([D LIQUID])=YEAR(NC[[#This Row],[D LIQUID]])),N(MONTH([D LIQUID])=MONTH(NC[[#This Row],[D LIQUID]])),N(['[D/N']]="D"),[LUCRO OP])</f>
        <v>-136.55000000000001</v>
      </c>
      <c r="AG42" s="39">
        <f>[LUCRO N '[A']]+[LUCRO D]</f>
        <v>-2.179999999997591</v>
      </c>
      <c r="AH42" s="39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19006</v>
      </c>
    </row>
    <row r="43" spans="1:34">
      <c r="A43" s="21">
        <v>42</v>
      </c>
      <c r="B43" s="37" t="s">
        <v>25</v>
      </c>
      <c r="C43" s="37" t="s">
        <v>56</v>
      </c>
      <c r="D43" s="38">
        <v>41064</v>
      </c>
      <c r="E43" s="37">
        <v>800</v>
      </c>
      <c r="F43" s="39">
        <v>2.4</v>
      </c>
      <c r="G43" s="45">
        <v>0</v>
      </c>
      <c r="H43" s="39" t="s">
        <v>61</v>
      </c>
      <c r="I43" s="37" t="s">
        <v>12</v>
      </c>
      <c r="J43" s="38">
        <f>WORKDAY(NC[[#This Row],[DATA]],IF(['[A/O']]="A",3,1))</f>
        <v>41067</v>
      </c>
      <c r="K43" s="37">
        <f>EOMONTH(NC[[#This Row],[D LIQUID]],0)</f>
        <v>41090</v>
      </c>
      <c r="L43" s="37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4</v>
      </c>
      <c r="M43" s="39">
        <f>[QTDE]*[PREÇO]+[CORREÇÃO]</f>
        <v>1920</v>
      </c>
      <c r="N43" s="39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1920</v>
      </c>
      <c r="O43" s="39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0.52</v>
      </c>
      <c r="P43" s="39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0.13</v>
      </c>
      <c r="Q43" s="39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43" s="39">
        <f>SETUP!$E$3*SUMPRODUCT(N([DATA]=NC[[#This Row],[DATA]]),N([ID]&lt;=NC[[#This Row],[ID]]))</f>
        <v>14.9</v>
      </c>
      <c r="S43" s="39">
        <f>TRUNC([CORR. BASE]*SETUP!$F$3,2)</f>
        <v>0.28999999999999998</v>
      </c>
      <c r="T43" s="39">
        <f>TRUNC([CORR. BASE]*SETUP!$G$3,2)</f>
        <v>0.57999999999999996</v>
      </c>
      <c r="U43" s="39">
        <f>[VL LIQUID]-[TX LIQUID]-[EMOL]-[REGISTRO]-[CORR. BASE]-[ISS]-[OUTRAS]</f>
        <v>1903.58</v>
      </c>
      <c r="V43" s="39">
        <f>[LÍQUIDO]-SUMPRODUCT(N([DATA]=NC[[#This Row],[DATA]]),N([ID]=(NC[[#This Row],[ID]]-1)),[LÍQUIDO])</f>
        <v>1903.58</v>
      </c>
      <c r="W43" s="39">
        <f t="shared" si="1"/>
        <v>2.3794749999999998</v>
      </c>
      <c r="X43" s="39">
        <f>TRUNC(IF(OR([OPER/TIPO]="CV",[OPER/TIPO]="VV"),     M43*SETUP!$H$3,     0),2)</f>
        <v>0.09</v>
      </c>
      <c r="Y43" s="37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-800</v>
      </c>
      <c r="Z43" s="40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43" s="40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2.3794749999999998</v>
      </c>
      <c r="AB43" s="39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43" s="41">
        <f>IF(['[A/O']]="O",[LUCRO OP]*0.15,0)</f>
        <v>0</v>
      </c>
      <c r="AD43" s="42">
        <f>[LUCRO OP]/ABS([VALOR P/ OP])</f>
        <v>0</v>
      </c>
      <c r="AE43" s="39">
        <f>SUMPRODUCT(N(YEAR([D LIQUID])=YEAR(NC[[#This Row],[D LIQUID]])),N(MONTH([D LIQUID])=MONTH(NC[[#This Row],[D LIQUID]])),N(['[D/N']]="N"),[LUCRO OP])</f>
        <v>134.37000000000242</v>
      </c>
      <c r="AF43" s="39">
        <f>SUMPRODUCT(N(YEAR([D LIQUID])=YEAR(NC[[#This Row],[D LIQUID]])),N(MONTH([D LIQUID])=MONTH(NC[[#This Row],[D LIQUID]])),N(['[D/N']]="D"),[LUCRO OP])</f>
        <v>-136.55000000000001</v>
      </c>
      <c r="AG43" s="39">
        <f>[LUCRO N '[A']]+[LUCRO D]</f>
        <v>-2.179999999997591</v>
      </c>
      <c r="AH43" s="39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19006</v>
      </c>
    </row>
    <row r="44" spans="1:34">
      <c r="A44" s="30">
        <v>43</v>
      </c>
      <c r="B44" s="37" t="s">
        <v>67</v>
      </c>
      <c r="C44" s="37" t="s">
        <v>56</v>
      </c>
      <c r="D44" s="38">
        <v>41065</v>
      </c>
      <c r="E44" s="37">
        <v>400</v>
      </c>
      <c r="F44" s="39">
        <v>19.27</v>
      </c>
      <c r="G44" s="45">
        <v>-2</v>
      </c>
      <c r="H44" s="39" t="s">
        <v>61</v>
      </c>
      <c r="I44" s="37" t="s">
        <v>12</v>
      </c>
      <c r="J44" s="38">
        <f>WORKDAY(NC[[#This Row],[DATA]],IF(['[A/O']]="A",3,1))</f>
        <v>41068</v>
      </c>
      <c r="K44" s="37">
        <f>EOMONTH(NC[[#This Row],[D LIQUID]],0)</f>
        <v>41090</v>
      </c>
      <c r="L44" s="37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44" s="39">
        <f>[QTDE]*[PREÇO]+[CORREÇÃO]</f>
        <v>7706</v>
      </c>
      <c r="N44" s="39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7706</v>
      </c>
      <c r="O44" s="39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2.11</v>
      </c>
      <c r="P44" s="39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0.53</v>
      </c>
      <c r="Q44" s="39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44" s="39">
        <f>SETUP!$E$3*SUMPRODUCT(N([DATA]=NC[[#This Row],[DATA]]),N([ID]&lt;=NC[[#This Row],[ID]]))</f>
        <v>14.9</v>
      </c>
      <c r="S44" s="39">
        <f>TRUNC([CORR. BASE]*SETUP!$F$3,2)</f>
        <v>0.28999999999999998</v>
      </c>
      <c r="T44" s="39">
        <f>TRUNC([CORR. BASE]*SETUP!$G$3,2)</f>
        <v>0.57999999999999996</v>
      </c>
      <c r="U44" s="39">
        <f>[VL LIQUID]-[TX LIQUID]-[EMOL]-[REGISTRO]-[CORR. BASE]-[ISS]-[OUTRAS]</f>
        <v>7687.5900000000011</v>
      </c>
      <c r="V44" s="39">
        <f>[LÍQUIDO]-SUMPRODUCT(N([DATA]=NC[[#This Row],[DATA]]),N([ID]=(NC[[#This Row],[ID]]-1)),[LÍQUIDO])</f>
        <v>7687.5900000000011</v>
      </c>
      <c r="W44" s="39">
        <f t="shared" si="1"/>
        <v>19.218975000000004</v>
      </c>
      <c r="X44" s="39">
        <f>TRUNC(IF(OR([OPER/TIPO]="CV",[OPER/TIPO]="VV"),     M44*SETUP!$H$3,     0),2)</f>
        <v>0.38</v>
      </c>
      <c r="Y44" s="37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-400</v>
      </c>
      <c r="Z44" s="40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44" s="40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19.218975000000004</v>
      </c>
      <c r="AB44" s="39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44" s="41">
        <f>IF(['[A/O']]="O",[LUCRO OP]*0.15,0)</f>
        <v>0</v>
      </c>
      <c r="AD44" s="42">
        <f>[LUCRO OP]/ABS([VALOR P/ OP])</f>
        <v>0</v>
      </c>
      <c r="AE44" s="39">
        <f>SUMPRODUCT(N(YEAR([D LIQUID])=YEAR(NC[[#This Row],[D LIQUID]])),N(MONTH([D LIQUID])=MONTH(NC[[#This Row],[D LIQUID]])),N(['[D/N']]="N"),[LUCRO OP])</f>
        <v>134.37000000000242</v>
      </c>
      <c r="AF44" s="39">
        <f>SUMPRODUCT(N(YEAR([D LIQUID])=YEAR(NC[[#This Row],[D LIQUID]])),N(MONTH([D LIQUID])=MONTH(NC[[#This Row],[D LIQUID]])),N(['[D/N']]="D"),[LUCRO OP])</f>
        <v>-136.55000000000001</v>
      </c>
      <c r="AG44" s="39">
        <f>[LUCRO N '[A']]+[LUCRO D]</f>
        <v>-2.179999999997591</v>
      </c>
      <c r="AH44" s="39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19006</v>
      </c>
    </row>
    <row r="45" spans="1:34">
      <c r="A45" s="21">
        <v>44</v>
      </c>
      <c r="B45" s="37" t="s">
        <v>68</v>
      </c>
      <c r="C45" s="37" t="s">
        <v>56</v>
      </c>
      <c r="D45" s="38">
        <v>41065</v>
      </c>
      <c r="E45" s="37">
        <v>600</v>
      </c>
      <c r="F45" s="39">
        <v>10.74</v>
      </c>
      <c r="G45" s="45">
        <v>-1</v>
      </c>
      <c r="H45" s="39" t="s">
        <v>61</v>
      </c>
      <c r="I45" s="37" t="s">
        <v>12</v>
      </c>
      <c r="J45" s="38">
        <f>WORKDAY(NC[[#This Row],[DATA]],IF(['[A/O']]="A",3,1))</f>
        <v>41068</v>
      </c>
      <c r="K45" s="37">
        <f>EOMONTH(NC[[#This Row],[D LIQUID]],0)</f>
        <v>41090</v>
      </c>
      <c r="L45" s="37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45" s="39">
        <f>[QTDE]*[PREÇO]+[CORREÇÃO]</f>
        <v>6443</v>
      </c>
      <c r="N45" s="39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14149</v>
      </c>
      <c r="O45" s="39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3.89</v>
      </c>
      <c r="P45" s="39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0.99</v>
      </c>
      <c r="Q45" s="39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45" s="39">
        <f>SETUP!$E$3*SUMPRODUCT(N([DATA]=NC[[#This Row],[DATA]]),N([ID]&lt;=NC[[#This Row],[ID]]))</f>
        <v>29.8</v>
      </c>
      <c r="S45" s="39">
        <f>TRUNC([CORR. BASE]*SETUP!$F$3,2)</f>
        <v>0.59</v>
      </c>
      <c r="T45" s="39">
        <f>TRUNC([CORR. BASE]*SETUP!$G$3,2)</f>
        <v>1.1599999999999999</v>
      </c>
      <c r="U45" s="39">
        <f>[VL LIQUID]-[TX LIQUID]-[EMOL]-[REGISTRO]-[CORR. BASE]-[ISS]-[OUTRAS]</f>
        <v>14112.570000000002</v>
      </c>
      <c r="V45" s="39">
        <f>[LÍQUIDO]-SUMPRODUCT(N([DATA]=NC[[#This Row],[DATA]]),N([ID]=(NC[[#This Row],[ID]]-1)),[LÍQUIDO])</f>
        <v>6424.9800000000005</v>
      </c>
      <c r="W45" s="39">
        <f t="shared" si="1"/>
        <v>10.708300000000001</v>
      </c>
      <c r="X45" s="39">
        <f>TRUNC(IF(OR([OPER/TIPO]="CV",[OPER/TIPO]="VV"),     M45*SETUP!$H$3,     0),2)</f>
        <v>0.32</v>
      </c>
      <c r="Y45" s="37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-600</v>
      </c>
      <c r="Z45" s="40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45" s="40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10.708300000000001</v>
      </c>
      <c r="AB45" s="39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45" s="41">
        <f>IF(['[A/O']]="O",[LUCRO OP]*0.15,0)</f>
        <v>0</v>
      </c>
      <c r="AD45" s="42">
        <f>[LUCRO OP]/ABS([VALOR P/ OP])</f>
        <v>0</v>
      </c>
      <c r="AE45" s="39">
        <f>SUMPRODUCT(N(YEAR([D LIQUID])=YEAR(NC[[#This Row],[D LIQUID]])),N(MONTH([D LIQUID])=MONTH(NC[[#This Row],[D LIQUID]])),N(['[D/N']]="N"),[LUCRO OP])</f>
        <v>134.37000000000242</v>
      </c>
      <c r="AF45" s="39">
        <f>SUMPRODUCT(N(YEAR([D LIQUID])=YEAR(NC[[#This Row],[D LIQUID]])),N(MONTH([D LIQUID])=MONTH(NC[[#This Row],[D LIQUID]])),N(['[D/N']]="D"),[LUCRO OP])</f>
        <v>-136.55000000000001</v>
      </c>
      <c r="AG45" s="39">
        <f>[LUCRO N '[A']]+[LUCRO D]</f>
        <v>-2.179999999997591</v>
      </c>
      <c r="AH45" s="39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19006</v>
      </c>
    </row>
    <row r="46" spans="1:34">
      <c r="A46" s="30">
        <v>45</v>
      </c>
      <c r="B46" s="37" t="s">
        <v>25</v>
      </c>
      <c r="C46" s="21" t="s">
        <v>57</v>
      </c>
      <c r="D46" s="38">
        <v>41066</v>
      </c>
      <c r="E46" s="37">
        <v>400</v>
      </c>
      <c r="F46" s="39">
        <v>2.16</v>
      </c>
      <c r="G46" s="45">
        <v>0</v>
      </c>
      <c r="H46" s="39" t="s">
        <v>61</v>
      </c>
      <c r="I46" s="21" t="s">
        <v>12</v>
      </c>
      <c r="J46" s="38">
        <f>WORKDAY(NC[[#This Row],[DATA]],IF(['[A/O']]="A",3,1))</f>
        <v>41071</v>
      </c>
      <c r="K46" s="37">
        <f>EOMONTH(NC[[#This Row],[D LIQUID]],0)</f>
        <v>41090</v>
      </c>
      <c r="L46" s="37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4</v>
      </c>
      <c r="M46" s="39">
        <f>[QTDE]*[PREÇO]+[CORREÇÃO]</f>
        <v>864</v>
      </c>
      <c r="N46" s="39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-864</v>
      </c>
      <c r="O46" s="39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0.23</v>
      </c>
      <c r="P46" s="39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0.06</v>
      </c>
      <c r="Q46" s="39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46" s="39">
        <f>SETUP!$E$3*SUMPRODUCT(N([DATA]=NC[[#This Row],[DATA]]),N([ID]&lt;=NC[[#This Row],[ID]]))</f>
        <v>14.9</v>
      </c>
      <c r="S46" s="39">
        <f>TRUNC([CORR. BASE]*SETUP!$F$3,2)</f>
        <v>0.28999999999999998</v>
      </c>
      <c r="T46" s="39">
        <f>TRUNC([CORR. BASE]*SETUP!$G$3,2)</f>
        <v>0.57999999999999996</v>
      </c>
      <c r="U46" s="39">
        <f>[VL LIQUID]-[TX LIQUID]-[EMOL]-[REGISTRO]-[CORR. BASE]-[ISS]-[OUTRAS]</f>
        <v>-880.06</v>
      </c>
      <c r="V46" s="39">
        <f>[LÍQUIDO]-SUMPRODUCT(N([DATA]=NC[[#This Row],[DATA]]),N([ID]=(NC[[#This Row],[ID]]-1)),[LÍQUIDO])</f>
        <v>-880.06</v>
      </c>
      <c r="W46" s="39">
        <f t="shared" si="1"/>
        <v>2.2001499999999998</v>
      </c>
      <c r="X46" s="39">
        <f>TRUNC(IF(OR([OPER/TIPO]="CV",[OPER/TIPO]="VV"),     M46*SETUP!$H$3,     0),2)</f>
        <v>0</v>
      </c>
      <c r="Y46" s="37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-400</v>
      </c>
      <c r="Z46" s="40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2.2001499999999998</v>
      </c>
      <c r="AA46" s="40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2.3794749999999998</v>
      </c>
      <c r="AB46" s="39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71.72999999999999</v>
      </c>
      <c r="AC46" s="41">
        <f>IF(['[A/O']]="O",[LUCRO OP]*0.15,0)</f>
        <v>0</v>
      </c>
      <c r="AD46" s="42">
        <f>[LUCRO OP]/ABS([VALOR P/ OP])</f>
        <v>8.1505806422289384E-2</v>
      </c>
      <c r="AE46" s="39">
        <f>SUMPRODUCT(N(YEAR([D LIQUID])=YEAR(NC[[#This Row],[D LIQUID]])),N(MONTH([D LIQUID])=MONTH(NC[[#This Row],[D LIQUID]])),N(['[D/N']]="N"),[LUCRO OP])</f>
        <v>134.37000000000242</v>
      </c>
      <c r="AF46" s="39">
        <f>SUMPRODUCT(N(YEAR([D LIQUID])=YEAR(NC[[#This Row],[D LIQUID]])),N(MONTH([D LIQUID])=MONTH(NC[[#This Row],[D LIQUID]])),N(['[D/N']]="D"),[LUCRO OP])</f>
        <v>-136.55000000000001</v>
      </c>
      <c r="AG46" s="39">
        <f>[LUCRO N '[A']]+[LUCRO D]</f>
        <v>-2.179999999997591</v>
      </c>
      <c r="AH46" s="39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19006</v>
      </c>
    </row>
    <row r="47" spans="1:34">
      <c r="A47" s="21">
        <v>46</v>
      </c>
      <c r="B47" s="37" t="s">
        <v>68</v>
      </c>
      <c r="C47" s="21" t="s">
        <v>57</v>
      </c>
      <c r="D47" s="38">
        <v>41068</v>
      </c>
      <c r="E47" s="37">
        <v>600</v>
      </c>
      <c r="F47" s="39">
        <v>11</v>
      </c>
      <c r="G47" s="45">
        <v>0</v>
      </c>
      <c r="H47" s="39" t="s">
        <v>61</v>
      </c>
      <c r="I47" s="21" t="s">
        <v>12</v>
      </c>
      <c r="J47" s="38">
        <f>WORKDAY(NC[[#This Row],[DATA]],IF(['[A/O']]="A",3,1))</f>
        <v>41073</v>
      </c>
      <c r="K47" s="37">
        <f>EOMONTH(NC[[#This Row],[D LIQUID]],0)</f>
        <v>41090</v>
      </c>
      <c r="L47" s="37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47" s="39">
        <f>[QTDE]*[PREÇO]+[CORREÇÃO]</f>
        <v>6600</v>
      </c>
      <c r="N47" s="39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-6600</v>
      </c>
      <c r="O47" s="39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1.81</v>
      </c>
      <c r="P47" s="39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0.46</v>
      </c>
      <c r="Q47" s="39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47" s="39">
        <f>SETUP!$E$3*SUMPRODUCT(N([DATA]=NC[[#This Row],[DATA]]),N([ID]&lt;=NC[[#This Row],[ID]]))</f>
        <v>14.9</v>
      </c>
      <c r="S47" s="39">
        <f>TRUNC([CORR. BASE]*SETUP!$F$3,2)</f>
        <v>0.28999999999999998</v>
      </c>
      <c r="T47" s="39">
        <f>TRUNC([CORR. BASE]*SETUP!$G$3,2)</f>
        <v>0.57999999999999996</v>
      </c>
      <c r="U47" s="39">
        <f>[VL LIQUID]-[TX LIQUID]-[EMOL]-[REGISTRO]-[CORR. BASE]-[ISS]-[OUTRAS]</f>
        <v>-6618.04</v>
      </c>
      <c r="V47" s="39">
        <f>[LÍQUIDO]-SUMPRODUCT(N([DATA]=NC[[#This Row],[DATA]]),N([ID]=(NC[[#This Row],[ID]]-1)),[LÍQUIDO])</f>
        <v>-6618.04</v>
      </c>
      <c r="W47" s="39">
        <f t="shared" si="1"/>
        <v>11.030066666666666</v>
      </c>
      <c r="X47" s="39">
        <f>TRUNC(IF(OR([OPER/TIPO]="CV",[OPER/TIPO]="VV"),     M47*SETUP!$H$3,     0),2)</f>
        <v>0</v>
      </c>
      <c r="Y47" s="37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47" s="40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11.030066666666666</v>
      </c>
      <c r="AA47" s="40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10.708300000000001</v>
      </c>
      <c r="AB47" s="39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-193.05999999999912</v>
      </c>
      <c r="AC47" s="41">
        <f>IF(['[A/O']]="O",[LUCRO OP]*0.15,0)</f>
        <v>0</v>
      </c>
      <c r="AD47" s="42">
        <f>[LUCRO OP]/ABS([VALOR P/ OP])</f>
        <v>-2.9171778955702766E-2</v>
      </c>
      <c r="AE47" s="39">
        <f>SUMPRODUCT(N(YEAR([D LIQUID])=YEAR(NC[[#This Row],[D LIQUID]])),N(MONTH([D LIQUID])=MONTH(NC[[#This Row],[D LIQUID]])),N(['[D/N']]="N"),[LUCRO OP])</f>
        <v>134.37000000000242</v>
      </c>
      <c r="AF47" s="39">
        <f>SUMPRODUCT(N(YEAR([D LIQUID])=YEAR(NC[[#This Row],[D LIQUID]])),N(MONTH([D LIQUID])=MONTH(NC[[#This Row],[D LIQUID]])),N(['[D/N']]="D"),[LUCRO OP])</f>
        <v>-136.55000000000001</v>
      </c>
      <c r="AG47" s="39">
        <f>[LUCRO N '[A']]+[LUCRO D]</f>
        <v>-2.179999999997591</v>
      </c>
      <c r="AH47" s="39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19006</v>
      </c>
    </row>
    <row r="48" spans="1:34">
      <c r="A48" s="30">
        <v>47</v>
      </c>
      <c r="B48" s="37" t="s">
        <v>25</v>
      </c>
      <c r="C48" s="21" t="s">
        <v>57</v>
      </c>
      <c r="D48" s="38">
        <v>41068</v>
      </c>
      <c r="E48" s="37">
        <v>400</v>
      </c>
      <c r="F48" s="39">
        <v>2.35</v>
      </c>
      <c r="G48" s="45">
        <v>0</v>
      </c>
      <c r="H48" s="39" t="s">
        <v>61</v>
      </c>
      <c r="I48" s="21" t="s">
        <v>12</v>
      </c>
      <c r="J48" s="22">
        <f>WORKDAY(NC[[#This Row],[DATA]],IF(['[A/O']]="A",3,1))</f>
        <v>41073</v>
      </c>
      <c r="K48" s="21">
        <f>EOMONTH(NC[[#This Row],[D LIQUID]],0)</f>
        <v>41090</v>
      </c>
      <c r="L48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4</v>
      </c>
      <c r="M48" s="23">
        <f>[QTDE]*[PREÇO]+[CORREÇÃO]</f>
        <v>940</v>
      </c>
      <c r="N48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-7540</v>
      </c>
      <c r="O48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2.0699999999999998</v>
      </c>
      <c r="P48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0.52</v>
      </c>
      <c r="Q48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48" s="23">
        <f>SETUP!$E$3*SUMPRODUCT(N([DATA]=NC[[#This Row],[DATA]]),N([ID]&lt;=NC[[#This Row],[ID]]))</f>
        <v>29.8</v>
      </c>
      <c r="S48" s="23">
        <f>TRUNC([CORR. BASE]*SETUP!$F$3,2)</f>
        <v>0.59</v>
      </c>
      <c r="T48" s="23">
        <f>TRUNC([CORR. BASE]*SETUP!$G$3,2)</f>
        <v>1.1599999999999999</v>
      </c>
      <c r="U48" s="23">
        <f>[VL LIQUID]-[TX LIQUID]-[EMOL]-[REGISTRO]-[CORR. BASE]-[ISS]-[OUTRAS]</f>
        <v>-7574.14</v>
      </c>
      <c r="V48" s="23">
        <f>[LÍQUIDO]-SUMPRODUCT(N([DATA]=NC[[#This Row],[DATA]]),N([ID]=(NC[[#This Row],[ID]]-1)),[LÍQUIDO])</f>
        <v>-956.10000000000036</v>
      </c>
      <c r="W48" s="23">
        <f t="shared" si="1"/>
        <v>2.3902500000000009</v>
      </c>
      <c r="X48" s="23">
        <f>TRUNC(IF(OR([OPER/TIPO]="CV",[OPER/TIPO]="VV"),     M48*SETUP!$H$3,     0),2)</f>
        <v>0</v>
      </c>
      <c r="Y48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48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2.3902500000000009</v>
      </c>
      <c r="AA48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2.3794749999999998</v>
      </c>
      <c r="AB48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-4.3100000000004357</v>
      </c>
      <c r="AC48" s="36">
        <f>IF(['[A/O']]="O",[LUCRO OP]*0.15,0)</f>
        <v>0</v>
      </c>
      <c r="AD48" s="28">
        <f>[LUCRO OP]/ABS([VALOR P/ OP])</f>
        <v>-4.5078966635293738E-3</v>
      </c>
      <c r="AE48" s="23">
        <f>SUMPRODUCT(N(YEAR([D LIQUID])=YEAR(NC[[#This Row],[D LIQUID]])),N(MONTH([D LIQUID])=MONTH(NC[[#This Row],[D LIQUID]])),N(['[D/N']]="N"),[LUCRO OP])</f>
        <v>134.37000000000242</v>
      </c>
      <c r="AF48" s="23">
        <f>SUMPRODUCT(N(YEAR([D LIQUID])=YEAR(NC[[#This Row],[D LIQUID]])),N(MONTH([D LIQUID])=MONTH(NC[[#This Row],[D LIQUID]])),N(['[D/N']]="D"),[LUCRO OP])</f>
        <v>-136.55000000000001</v>
      </c>
      <c r="AG48" s="23">
        <f>[LUCRO N '[A']]+[LUCRO D]</f>
        <v>-2.179999999997591</v>
      </c>
      <c r="AH48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19006</v>
      </c>
    </row>
    <row r="49" spans="1:34">
      <c r="A49" s="21">
        <v>48</v>
      </c>
      <c r="B49" s="52" t="s">
        <v>70</v>
      </c>
      <c r="C49" s="52" t="s">
        <v>54</v>
      </c>
      <c r="D49" s="53">
        <v>41068</v>
      </c>
      <c r="E49" s="52">
        <v>100</v>
      </c>
      <c r="F49" s="49">
        <v>10.16</v>
      </c>
      <c r="G49" s="46">
        <v>0</v>
      </c>
      <c r="H49" s="49" t="s">
        <v>61</v>
      </c>
      <c r="I49" s="52" t="s">
        <v>12</v>
      </c>
      <c r="J49" s="53">
        <f>WORKDAY(NC[[#This Row],[DATA]],IF(['[A/O']]="A",3,1))</f>
        <v>41073</v>
      </c>
      <c r="K49" s="52">
        <f>EOMONTH(NC[[#This Row],[D LIQUID]],0)</f>
        <v>41090</v>
      </c>
      <c r="L49" s="52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49" s="49">
        <f>[QTDE]*[PREÇO]+[CORREÇÃO]</f>
        <v>1016</v>
      </c>
      <c r="N49" s="49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-8556</v>
      </c>
      <c r="O49" s="49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2.35</v>
      </c>
      <c r="P49" s="49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0.59</v>
      </c>
      <c r="Q49" s="49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49" s="49">
        <f>SETUP!$E$3*SUMPRODUCT(N([DATA]=NC[[#This Row],[DATA]]),N([ID]&lt;=NC[[#This Row],[ID]]))</f>
        <v>44.7</v>
      </c>
      <c r="S49" s="49">
        <f>TRUNC([CORR. BASE]*SETUP!$F$3,2)</f>
        <v>0.89</v>
      </c>
      <c r="T49" s="49">
        <f>TRUNC([CORR. BASE]*SETUP!$G$3,2)</f>
        <v>1.74</v>
      </c>
      <c r="U49" s="49">
        <f>[VL LIQUID]-[TX LIQUID]-[EMOL]-[REGISTRO]-[CORR. BASE]-[ISS]-[OUTRAS]</f>
        <v>-8606.27</v>
      </c>
      <c r="V49" s="49">
        <f>[LÍQUIDO]-SUMPRODUCT(N([DATA]=NC[[#This Row],[DATA]]),N([ID]=(NC[[#This Row],[ID]]-1)),[LÍQUIDO])</f>
        <v>-1032.1300000000001</v>
      </c>
      <c r="W49" s="49">
        <f t="shared" si="1"/>
        <v>10.321300000000001</v>
      </c>
      <c r="X49" s="49">
        <f>TRUNC(IF(OR([OPER/TIPO]="CV",[OPER/TIPO]="VV"),     M49*SETUP!$H$3,     0),2)</f>
        <v>0</v>
      </c>
      <c r="Y49" s="52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100</v>
      </c>
      <c r="Z49" s="5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10.321300000000001</v>
      </c>
      <c r="AA49" s="5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49" s="49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49" s="55">
        <f>IF(['[A/O']]="O",[LUCRO OP]*0.15,0)</f>
        <v>0</v>
      </c>
      <c r="AD49" s="56">
        <f>[LUCRO OP]/ABS([VALOR P/ OP])</f>
        <v>0</v>
      </c>
      <c r="AE49" s="49">
        <f>SUMPRODUCT(N(YEAR([D LIQUID])=YEAR(NC[[#This Row],[D LIQUID]])),N(MONTH([D LIQUID])=MONTH(NC[[#This Row],[D LIQUID]])),N(['[D/N']]="N"),[LUCRO OP])</f>
        <v>134.37000000000242</v>
      </c>
      <c r="AF49" s="49">
        <f>SUMPRODUCT(N(YEAR([D LIQUID])=YEAR(NC[[#This Row],[D LIQUID]])),N(MONTH([D LIQUID])=MONTH(NC[[#This Row],[D LIQUID]])),N(['[D/N']]="D"),[LUCRO OP])</f>
        <v>-136.55000000000001</v>
      </c>
      <c r="AG49" s="49">
        <f>[LUCRO N '[A']]+[LUCRO D]</f>
        <v>-2.179999999997591</v>
      </c>
      <c r="AH49" s="49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19006</v>
      </c>
    </row>
    <row r="50" spans="1:34">
      <c r="A50" s="30">
        <v>49</v>
      </c>
      <c r="B50" s="37" t="s">
        <v>67</v>
      </c>
      <c r="C50" s="21" t="s">
        <v>57</v>
      </c>
      <c r="D50" s="38">
        <v>41071</v>
      </c>
      <c r="E50" s="37">
        <v>400</v>
      </c>
      <c r="F50" s="39">
        <v>19.64</v>
      </c>
      <c r="G50" s="45">
        <v>-1</v>
      </c>
      <c r="H50" s="39" t="s">
        <v>61</v>
      </c>
      <c r="I50" s="21" t="s">
        <v>12</v>
      </c>
      <c r="J50" s="38">
        <f>WORKDAY(NC[[#This Row],[DATA]],IF(['[A/O']]="A",3,1))</f>
        <v>41074</v>
      </c>
      <c r="K50" s="37">
        <f>EOMONTH(NC[[#This Row],[D LIQUID]],0)</f>
        <v>41090</v>
      </c>
      <c r="L50" s="37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50" s="39">
        <f>[QTDE]*[PREÇO]+[CORREÇÃO]</f>
        <v>7855</v>
      </c>
      <c r="N50" s="39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-7855</v>
      </c>
      <c r="O50" s="39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2.16</v>
      </c>
      <c r="P50" s="39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0.54</v>
      </c>
      <c r="Q50" s="39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50" s="39">
        <f>SETUP!$E$3*SUMPRODUCT(N([DATA]=NC[[#This Row],[DATA]]),N([ID]&lt;=NC[[#This Row],[ID]]))</f>
        <v>14.9</v>
      </c>
      <c r="S50" s="39">
        <f>TRUNC([CORR. BASE]*SETUP!$F$3,2)</f>
        <v>0.28999999999999998</v>
      </c>
      <c r="T50" s="39">
        <f>TRUNC([CORR. BASE]*SETUP!$G$3,2)</f>
        <v>0.57999999999999996</v>
      </c>
      <c r="U50" s="39">
        <f>[VL LIQUID]-[TX LIQUID]-[EMOL]-[REGISTRO]-[CORR. BASE]-[ISS]-[OUTRAS]</f>
        <v>-7873.4699999999993</v>
      </c>
      <c r="V50" s="39">
        <f>[LÍQUIDO]-SUMPRODUCT(N([DATA]=NC[[#This Row],[DATA]]),N([ID]=(NC[[#This Row],[ID]]-1)),[LÍQUIDO])</f>
        <v>-7873.4699999999993</v>
      </c>
      <c r="W50" s="39">
        <f t="shared" si="1"/>
        <v>19.683674999999997</v>
      </c>
      <c r="X50" s="39">
        <f>TRUNC(IF(OR([OPER/TIPO]="CV",[OPER/TIPO]="VV"),     M50*SETUP!$H$3,     0),2)</f>
        <v>0</v>
      </c>
      <c r="Y50" s="37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50" s="40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19.683674999999997</v>
      </c>
      <c r="AA50" s="40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19.218975000000004</v>
      </c>
      <c r="AB50" s="39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-185.87999999999738</v>
      </c>
      <c r="AC50" s="41">
        <f>IF(['[A/O']]="O",[LUCRO OP]*0.15,0)</f>
        <v>0</v>
      </c>
      <c r="AD50" s="42">
        <f>[LUCRO OP]/ABS([VALOR P/ OP])</f>
        <v>-2.360839629794708E-2</v>
      </c>
      <c r="AE50" s="39">
        <f>SUMPRODUCT(N(YEAR([D LIQUID])=YEAR(NC[[#This Row],[D LIQUID]])),N(MONTH([D LIQUID])=MONTH(NC[[#This Row],[D LIQUID]])),N(['[D/N']]="N"),[LUCRO OP])</f>
        <v>134.37000000000242</v>
      </c>
      <c r="AF50" s="39">
        <f>SUMPRODUCT(N(YEAR([D LIQUID])=YEAR(NC[[#This Row],[D LIQUID]])),N(MONTH([D LIQUID])=MONTH(NC[[#This Row],[D LIQUID]])),N(['[D/N']]="D"),[LUCRO OP])</f>
        <v>-136.55000000000001</v>
      </c>
      <c r="AG50" s="39">
        <f>[LUCRO N '[A']]+[LUCRO D]</f>
        <v>-2.179999999997591</v>
      </c>
      <c r="AH50" s="39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19006</v>
      </c>
    </row>
    <row r="51" spans="1:34">
      <c r="A51" s="21">
        <v>50</v>
      </c>
      <c r="B51" s="37" t="s">
        <v>66</v>
      </c>
      <c r="C51" s="21" t="s">
        <v>57</v>
      </c>
      <c r="D51" s="38">
        <v>41073</v>
      </c>
      <c r="E51" s="37">
        <v>500</v>
      </c>
      <c r="F51" s="39">
        <v>3.5</v>
      </c>
      <c r="G51" s="45">
        <v>0</v>
      </c>
      <c r="H51" s="39" t="s">
        <v>61</v>
      </c>
      <c r="I51" s="21" t="s">
        <v>12</v>
      </c>
      <c r="J51" s="38">
        <f>WORKDAY(NC[[#This Row],[DATA]],IF(['[A/O']]="A",3,1))</f>
        <v>41078</v>
      </c>
      <c r="K51" s="37">
        <f>EOMONTH(NC[[#This Row],[D LIQUID]],0)</f>
        <v>41090</v>
      </c>
      <c r="L51" s="37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51" s="39">
        <f>[QTDE]*[PREÇO]+[CORREÇÃO]</f>
        <v>1750</v>
      </c>
      <c r="N51" s="39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-1750</v>
      </c>
      <c r="O51" s="39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0.48</v>
      </c>
      <c r="P51" s="39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0.12</v>
      </c>
      <c r="Q51" s="39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51" s="39">
        <f>SETUP!$E$3*SUMPRODUCT(N([DATA]=NC[[#This Row],[DATA]]),N([ID]&lt;=NC[[#This Row],[ID]]))</f>
        <v>14.9</v>
      </c>
      <c r="S51" s="39">
        <f>TRUNC([CORR. BASE]*SETUP!$F$3,2)</f>
        <v>0.28999999999999998</v>
      </c>
      <c r="T51" s="39">
        <f>TRUNC([CORR. BASE]*SETUP!$G$3,2)</f>
        <v>0.57999999999999996</v>
      </c>
      <c r="U51" s="39">
        <f>[VL LIQUID]-[TX LIQUID]-[EMOL]-[REGISTRO]-[CORR. BASE]-[ISS]-[OUTRAS]</f>
        <v>-1766.37</v>
      </c>
      <c r="V51" s="39">
        <f>[LÍQUIDO]-SUMPRODUCT(N([DATA]=NC[[#This Row],[DATA]]),N([ID]=(NC[[#This Row],[ID]]-1)),[LÍQUIDO])</f>
        <v>-1766.37</v>
      </c>
      <c r="W51" s="39">
        <f t="shared" si="1"/>
        <v>3.53274</v>
      </c>
      <c r="X51" s="39">
        <f>TRUNC(IF(OR([OPER/TIPO]="CV",[OPER/TIPO]="VV"),     M51*SETUP!$H$3,     0),2)</f>
        <v>0</v>
      </c>
      <c r="Y51" s="37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51" s="40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3.53274</v>
      </c>
      <c r="AA51" s="40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4.0428399999999991</v>
      </c>
      <c r="AB51" s="39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255.04999999999956</v>
      </c>
      <c r="AC51" s="41">
        <f>IF(['[A/O']]="O",[LUCRO OP]*0.15,0)</f>
        <v>0</v>
      </c>
      <c r="AD51" s="42">
        <f>[LUCRO OP]/ABS([VALOR P/ OP])</f>
        <v>0.14439217151559389</v>
      </c>
      <c r="AE51" s="39">
        <f>SUMPRODUCT(N(YEAR([D LIQUID])=YEAR(NC[[#This Row],[D LIQUID]])),N(MONTH([D LIQUID])=MONTH(NC[[#This Row],[D LIQUID]])),N(['[D/N']]="N"),[LUCRO OP])</f>
        <v>134.37000000000242</v>
      </c>
      <c r="AF51" s="39">
        <f>SUMPRODUCT(N(YEAR([D LIQUID])=YEAR(NC[[#This Row],[D LIQUID]])),N(MONTH([D LIQUID])=MONTH(NC[[#This Row],[D LIQUID]])),N(['[D/N']]="D"),[LUCRO OP])</f>
        <v>-136.55000000000001</v>
      </c>
      <c r="AG51" s="39">
        <f>[LUCRO N '[A']]+[LUCRO D]</f>
        <v>-2.179999999997591</v>
      </c>
      <c r="AH51" s="39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19006</v>
      </c>
    </row>
    <row r="52" spans="1:34">
      <c r="A52" s="30">
        <v>51</v>
      </c>
      <c r="B52" s="21" t="s">
        <v>70</v>
      </c>
      <c r="C52" s="21" t="s">
        <v>55</v>
      </c>
      <c r="D52" s="38">
        <v>41074</v>
      </c>
      <c r="E52" s="37">
        <v>100</v>
      </c>
      <c r="F52" s="39">
        <v>9.69</v>
      </c>
      <c r="G52" s="45">
        <v>0</v>
      </c>
      <c r="H52" s="39" t="s">
        <v>61</v>
      </c>
      <c r="I52" s="21" t="s">
        <v>12</v>
      </c>
      <c r="J52" s="53">
        <f>WORKDAY(NC[[#This Row],[DATA]],IF(['[A/O']]="A",3,1))</f>
        <v>41079</v>
      </c>
      <c r="K52" s="52">
        <f>EOMONTH(NC[[#This Row],[D LIQUID]],0)</f>
        <v>41090</v>
      </c>
      <c r="L52" s="52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52" s="49">
        <f>[QTDE]*[PREÇO]+[CORREÇÃO]</f>
        <v>969</v>
      </c>
      <c r="N52" s="49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969</v>
      </c>
      <c r="O52" s="49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0.26</v>
      </c>
      <c r="P52" s="49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0.06</v>
      </c>
      <c r="Q52" s="49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52" s="49">
        <f>SETUP!$E$3*SUMPRODUCT(N([DATA]=NC[[#This Row],[DATA]]),N([ID]&lt;=NC[[#This Row],[ID]]))</f>
        <v>14.9</v>
      </c>
      <c r="S52" s="49">
        <f>TRUNC([CORR. BASE]*SETUP!$F$3,2)</f>
        <v>0.28999999999999998</v>
      </c>
      <c r="T52" s="49">
        <f>TRUNC([CORR. BASE]*SETUP!$G$3,2)</f>
        <v>0.57999999999999996</v>
      </c>
      <c r="U52" s="49">
        <f>[VL LIQUID]-[TX LIQUID]-[EMOL]-[REGISTRO]-[CORR. BASE]-[ISS]-[OUTRAS]</f>
        <v>952.91000000000008</v>
      </c>
      <c r="V52" s="49">
        <f>[LÍQUIDO]-SUMPRODUCT(N([DATA]=NC[[#This Row],[DATA]]),N([ID]=(NC[[#This Row],[ID]]-1)),[LÍQUIDO])</f>
        <v>952.91000000000008</v>
      </c>
      <c r="W52" s="49">
        <f>ABS(V52)/E52</f>
        <v>9.5291000000000015</v>
      </c>
      <c r="X52" s="49">
        <f>TRUNC(IF(OR([OPER/TIPO]="CV",[OPER/TIPO]="VV"),     M52*SETUP!$H$3,     0),2)</f>
        <v>0.04</v>
      </c>
      <c r="Y52" s="52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52" s="5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10.321300000000001</v>
      </c>
      <c r="AA52" s="5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9.5291000000000015</v>
      </c>
      <c r="AB52" s="49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-79.219999999999942</v>
      </c>
      <c r="AC52" s="55">
        <f>IF(['[A/O']]="O",[LUCRO OP]*0.15,0)</f>
        <v>0</v>
      </c>
      <c r="AD52" s="56">
        <f>[LUCRO OP]/ABS([VALOR P/ OP])</f>
        <v>-8.3134818608263036E-2</v>
      </c>
      <c r="AE52" s="49">
        <f>SUMPRODUCT(N(YEAR([D LIQUID])=YEAR(NC[[#This Row],[D LIQUID]])),N(MONTH([D LIQUID])=MONTH(NC[[#This Row],[D LIQUID]])),N(['[D/N']]="N"),[LUCRO OP])</f>
        <v>134.37000000000242</v>
      </c>
      <c r="AF52" s="49">
        <f>SUMPRODUCT(N(YEAR([D LIQUID])=YEAR(NC[[#This Row],[D LIQUID]])),N(MONTH([D LIQUID])=MONTH(NC[[#This Row],[D LIQUID]])),N(['[D/N']]="D"),[LUCRO OP])</f>
        <v>-136.55000000000001</v>
      </c>
      <c r="AG52" s="49">
        <f>[LUCRO N '[A']]+[LUCRO D]</f>
        <v>-2.179999999997591</v>
      </c>
      <c r="AH52" s="49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19006</v>
      </c>
    </row>
    <row r="53" spans="1:34">
      <c r="A53" s="48" t="s">
        <v>32</v>
      </c>
      <c r="B53" s="48"/>
      <c r="C53" s="48"/>
      <c r="D53" s="48"/>
      <c r="E53" s="48"/>
      <c r="F53" s="48"/>
      <c r="G53" s="49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9" t="s">
        <v>51</v>
      </c>
      <c r="V53" s="48"/>
      <c r="W53" s="48"/>
      <c r="X53" s="49">
        <f>SUBTOTAL(109,[IRRF])</f>
        <v>2.0500000000000003</v>
      </c>
      <c r="Y53" s="49"/>
      <c r="Z53" s="48"/>
      <c r="AA53" s="48"/>
      <c r="AB53" s="49">
        <f>SUBTOTAL(109,[LUCRO OP])-NC[[#Totals],[IRRF OPÇÃO]]</f>
        <v>-1799.8699999999972</v>
      </c>
      <c r="AC53" s="49">
        <f>SUBTOTAL(109,[IRRF OPÇÃO])</f>
        <v>0</v>
      </c>
      <c r="AD53" s="49"/>
      <c r="AE53" s="50"/>
      <c r="AF53" s="50"/>
      <c r="AG53" s="50">
        <f>NC[[#Totals],[LUCRO OP]]/NC[[#Totals],[LÍQUIDO]]</f>
        <v>-0.26602589210097255</v>
      </c>
      <c r="AH53" s="51">
        <f>IF(NC[[#Totals],[LUCRO OP]]&lt;0,ABS(NC[[#Totals],[LUCRO OP]]/(NC[[#Totals],[LUCRO OP]]+NC[[#Totals],[LÍQUIDO]])),-NC[[#Totals],[LUCRO OP]]/(NC[[#Totals],[LUCRO OP]]+NC[[#Totals],[LÍQUIDO]]))</f>
        <v>0.36244588090779034</v>
      </c>
    </row>
    <row r="54" spans="1:34">
      <c r="D54" s="2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&amp;CPágina &amp;P</oddFoot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3"/>
  <dimension ref="A1:I7"/>
  <sheetViews>
    <sheetView workbookViewId="0">
      <selection sqref="A1:H7"/>
    </sheetView>
  </sheetViews>
  <sheetFormatPr defaultColWidth="11.5703125" defaultRowHeight="11.25"/>
  <cols>
    <col min="1" max="2" width="7.140625" style="1" bestFit="1" customWidth="1"/>
    <col min="3" max="3" width="8.5703125" style="1" bestFit="1" customWidth="1"/>
    <col min="4" max="4" width="7.140625" style="1" bestFit="1" customWidth="1"/>
    <col min="5" max="5" width="11.7109375" style="1" bestFit="1" customWidth="1"/>
    <col min="6" max="6" width="8.5703125" style="1" bestFit="1" customWidth="1"/>
    <col min="7" max="7" width="7.28515625" style="1" bestFit="1" customWidth="1"/>
    <col min="8" max="8" width="6.28515625" style="1" bestFit="1" customWidth="1"/>
    <col min="9" max="9" width="11.42578125" style="1" bestFit="1" customWidth="1"/>
    <col min="10" max="16384" width="11.5703125" style="1"/>
  </cols>
  <sheetData>
    <row r="1" spans="1:9">
      <c r="A1" s="59" t="s">
        <v>14</v>
      </c>
      <c r="B1" s="59"/>
      <c r="C1" s="59" t="s">
        <v>15</v>
      </c>
      <c r="D1" s="59"/>
      <c r="E1" s="58" t="s">
        <v>16</v>
      </c>
      <c r="F1" s="58" t="s">
        <v>8</v>
      </c>
      <c r="G1" s="58" t="s">
        <v>17</v>
      </c>
      <c r="H1" s="58" t="s">
        <v>18</v>
      </c>
      <c r="I1" s="58" t="s">
        <v>50</v>
      </c>
    </row>
    <row r="2" spans="1:9">
      <c r="A2" s="3" t="s">
        <v>19</v>
      </c>
      <c r="B2" s="3" t="s">
        <v>20</v>
      </c>
      <c r="C2" s="3" t="s">
        <v>19</v>
      </c>
      <c r="D2" s="3" t="s">
        <v>20</v>
      </c>
      <c r="E2" s="58"/>
      <c r="F2" s="58"/>
      <c r="G2" s="58"/>
      <c r="H2" s="58"/>
      <c r="I2" s="58"/>
    </row>
    <row r="3" spans="1:9">
      <c r="A3" s="4">
        <v>7.0000000000000007E-5</v>
      </c>
      <c r="B3" s="5">
        <v>2.7499999999999996E-4</v>
      </c>
      <c r="C3" s="4">
        <v>7.0000000000000007E-5</v>
      </c>
      <c r="D3" s="5">
        <v>1.8000000000000001E-4</v>
      </c>
      <c r="E3" s="2">
        <v>14.9</v>
      </c>
      <c r="F3" s="6">
        <v>0.02</v>
      </c>
      <c r="G3" s="6">
        <v>3.9E-2</v>
      </c>
      <c r="H3" s="4">
        <v>5.0000000000000002E-5</v>
      </c>
      <c r="I3" s="25">
        <v>6765.77</v>
      </c>
    </row>
    <row r="4" spans="1:9">
      <c r="A4" s="57" t="s">
        <v>58</v>
      </c>
      <c r="B4" s="57"/>
      <c r="C4" s="57"/>
      <c r="D4" s="57"/>
      <c r="E4" s="57"/>
      <c r="F4" s="57"/>
    </row>
    <row r="5" spans="1:9">
      <c r="A5" s="57" t="s">
        <v>14</v>
      </c>
      <c r="B5" s="57"/>
      <c r="C5" s="57"/>
      <c r="D5" s="57" t="s">
        <v>15</v>
      </c>
      <c r="E5" s="57"/>
      <c r="F5" s="57"/>
    </row>
    <row r="6" spans="1:9">
      <c r="A6" s="26" t="s">
        <v>19</v>
      </c>
      <c r="B6" s="26" t="s">
        <v>20</v>
      </c>
      <c r="C6" s="26" t="s">
        <v>59</v>
      </c>
      <c r="D6" s="26" t="s">
        <v>19</v>
      </c>
      <c r="E6" s="26" t="s">
        <v>20</v>
      </c>
      <c r="F6" s="26" t="s">
        <v>59</v>
      </c>
    </row>
    <row r="7" spans="1:9">
      <c r="A7" s="5">
        <v>3.6999999999999999E-4</v>
      </c>
      <c r="B7" s="5">
        <v>2.7499999999999996E-4</v>
      </c>
      <c r="C7" s="5">
        <v>6.9499999999999998E-4</v>
      </c>
      <c r="D7" s="5">
        <v>1.2E-4</v>
      </c>
      <c r="E7" s="5">
        <v>1.8000000000000001E-4</v>
      </c>
      <c r="F7" s="5">
        <v>1.4999999999999999E-4</v>
      </c>
      <c r="G7" s="5"/>
    </row>
  </sheetData>
  <sheetProtection selectLockedCells="1" selectUnlockedCells="1"/>
  <mergeCells count="10">
    <mergeCell ref="A5:C5"/>
    <mergeCell ref="D5:F5"/>
    <mergeCell ref="A4:F4"/>
    <mergeCell ref="I1:I2"/>
    <mergeCell ref="H1:H2"/>
    <mergeCell ref="A1:B1"/>
    <mergeCell ref="C1:D1"/>
    <mergeCell ref="E1:E2"/>
    <mergeCell ref="F1:F2"/>
    <mergeCell ref="G1:G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4"/>
  <dimension ref="A1"/>
  <sheetViews>
    <sheetView workbookViewId="0"/>
  </sheetViews>
  <sheetFormatPr defaultColWidth="11.5703125" defaultRowHeight="12.75"/>
  <sheetData/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Plan3</vt:lpstr>
      <vt:lpstr>Planilha1</vt:lpstr>
      <vt:lpstr>SETUP</vt:lpstr>
      <vt:lpstr>Planilha3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2012-03-04T21:31:14Z</dcterms:created>
  <dcterms:modified xsi:type="dcterms:W3CDTF">2012-06-13T20:19:16Z</dcterms:modified>
</cp:coreProperties>
</file>