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240" yWindow="90" windowWidth="19320" windowHeight="742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G28" i="1" l="1"/>
  <c r="H28" i="1"/>
  <c r="M28" i="1"/>
  <c r="N28" i="1"/>
  <c r="S28" i="1"/>
  <c r="T28" i="1"/>
  <c r="Y28" i="1"/>
  <c r="Z28" i="1" s="1"/>
  <c r="G27" i="1"/>
  <c r="M27" i="1"/>
  <c r="N27" i="1"/>
  <c r="S27" i="1"/>
  <c r="T27" i="1"/>
  <c r="Y27" i="1"/>
  <c r="Z27" i="1" s="1"/>
  <c r="G26" i="1"/>
  <c r="G25" i="1"/>
  <c r="G24" i="1"/>
  <c r="G23" i="1"/>
  <c r="M23" i="1"/>
  <c r="M24" i="1"/>
  <c r="M25" i="1"/>
  <c r="M26" i="1"/>
  <c r="N23" i="1"/>
  <c r="N24" i="1"/>
  <c r="N25" i="1"/>
  <c r="N26" i="1"/>
  <c r="S23" i="1"/>
  <c r="S24" i="1"/>
  <c r="S25" i="1"/>
  <c r="S26" i="1"/>
  <c r="T23" i="1"/>
  <c r="T24" i="1"/>
  <c r="T25" i="1"/>
  <c r="T26" i="1"/>
  <c r="Y23" i="1"/>
  <c r="Y24" i="1"/>
  <c r="Y25" i="1"/>
  <c r="Y26" i="1"/>
  <c r="Z23" i="1"/>
  <c r="AB23" i="1" s="1"/>
  <c r="Z24" i="1"/>
  <c r="AB24" i="1" s="1"/>
  <c r="Z25" i="1"/>
  <c r="AA25" i="1" s="1"/>
  <c r="Z26" i="1"/>
  <c r="AA26" i="1" s="1"/>
  <c r="AA23" i="1"/>
  <c r="AA24" i="1"/>
  <c r="G22" i="1"/>
  <c r="G21" i="1"/>
  <c r="G20" i="1"/>
  <c r="G19" i="1"/>
  <c r="G18" i="1"/>
  <c r="G17" i="1"/>
  <c r="G16" i="1"/>
  <c r="G15" i="1"/>
  <c r="G14" i="1"/>
  <c r="G13" i="1"/>
  <c r="G12" i="1"/>
  <c r="G11" i="1"/>
  <c r="M11" i="1"/>
  <c r="M12" i="1"/>
  <c r="M13" i="1"/>
  <c r="M14" i="1"/>
  <c r="M15" i="1"/>
  <c r="M16" i="1"/>
  <c r="M17" i="1"/>
  <c r="M18" i="1"/>
  <c r="M19" i="1"/>
  <c r="M20" i="1"/>
  <c r="M21" i="1"/>
  <c r="M22" i="1"/>
  <c r="N11" i="1"/>
  <c r="N12" i="1"/>
  <c r="N13" i="1"/>
  <c r="N14" i="1"/>
  <c r="N15" i="1"/>
  <c r="N16" i="1"/>
  <c r="N17" i="1"/>
  <c r="N18" i="1"/>
  <c r="N19" i="1"/>
  <c r="N20" i="1"/>
  <c r="N21" i="1"/>
  <c r="N22" i="1"/>
  <c r="S11" i="1"/>
  <c r="S12" i="1"/>
  <c r="S13" i="1"/>
  <c r="S14" i="1"/>
  <c r="S15" i="1"/>
  <c r="S16" i="1"/>
  <c r="S17" i="1"/>
  <c r="S18" i="1"/>
  <c r="S19" i="1"/>
  <c r="S20" i="1"/>
  <c r="S21" i="1"/>
  <c r="S22" i="1"/>
  <c r="T11" i="1"/>
  <c r="T12" i="1"/>
  <c r="T13" i="1"/>
  <c r="T14" i="1"/>
  <c r="T15" i="1"/>
  <c r="T16" i="1"/>
  <c r="T17" i="1"/>
  <c r="T18" i="1"/>
  <c r="T19" i="1"/>
  <c r="T20" i="1"/>
  <c r="T21" i="1"/>
  <c r="T22" i="1"/>
  <c r="Y11" i="1"/>
  <c r="Z11" i="1" s="1"/>
  <c r="Y12" i="1"/>
  <c r="Z12" i="1" s="1"/>
  <c r="Y13" i="1"/>
  <c r="Z13" i="1" s="1"/>
  <c r="Y14" i="1"/>
  <c r="Z14" i="1" s="1"/>
  <c r="Y15" i="1"/>
  <c r="Z15" i="1" s="1"/>
  <c r="Y16" i="1"/>
  <c r="Z16" i="1" s="1"/>
  <c r="Y17" i="1"/>
  <c r="Z17" i="1" s="1"/>
  <c r="AA17" i="1" s="1"/>
  <c r="Y18" i="1"/>
  <c r="Z18" i="1" s="1"/>
  <c r="Y19" i="1"/>
  <c r="Z19" i="1" s="1"/>
  <c r="Y20" i="1"/>
  <c r="Z20" i="1" s="1"/>
  <c r="Y21" i="1"/>
  <c r="Z21" i="1" s="1"/>
  <c r="Y22" i="1"/>
  <c r="Z22" i="1" s="1"/>
  <c r="AA22" i="1" s="1"/>
  <c r="G10" i="1"/>
  <c r="G9" i="1"/>
  <c r="G8" i="1"/>
  <c r="G7" i="1"/>
  <c r="G6" i="1"/>
  <c r="G5" i="1"/>
  <c r="M6" i="1"/>
  <c r="M7" i="1"/>
  <c r="M8" i="1"/>
  <c r="M9" i="1"/>
  <c r="M10" i="1"/>
  <c r="N6" i="1"/>
  <c r="N7" i="1"/>
  <c r="N8" i="1"/>
  <c r="N9" i="1"/>
  <c r="N10" i="1"/>
  <c r="S6" i="1"/>
  <c r="S7" i="1"/>
  <c r="S8" i="1"/>
  <c r="S9" i="1"/>
  <c r="S10" i="1"/>
  <c r="T6" i="1"/>
  <c r="T7" i="1"/>
  <c r="T8" i="1"/>
  <c r="T9" i="1"/>
  <c r="T10" i="1"/>
  <c r="Y6" i="1"/>
  <c r="Z6" i="1" s="1"/>
  <c r="Y7" i="1"/>
  <c r="Z7" i="1" s="1"/>
  <c r="Y8" i="1"/>
  <c r="Z8" i="1" s="1"/>
  <c r="Y9" i="1"/>
  <c r="Z9" i="1" s="1"/>
  <c r="AA9" i="1" s="1"/>
  <c r="Y10" i="1"/>
  <c r="Z10" i="1" s="1"/>
  <c r="G4" i="1"/>
  <c r="G3" i="1"/>
  <c r="G2" i="1"/>
  <c r="AB28" i="1" l="1"/>
  <c r="AA28" i="1"/>
  <c r="I28" i="1" s="1"/>
  <c r="H23" i="1"/>
  <c r="H27" i="1"/>
  <c r="AB27" i="1"/>
  <c r="AA27" i="1"/>
  <c r="H26" i="1"/>
  <c r="H25" i="1"/>
  <c r="AB26" i="1"/>
  <c r="AB25" i="1"/>
  <c r="H6" i="1"/>
  <c r="H24" i="1"/>
  <c r="H17" i="1"/>
  <c r="H13" i="1"/>
  <c r="H12" i="1"/>
  <c r="H21" i="1"/>
  <c r="H11" i="1"/>
  <c r="AB22" i="1"/>
  <c r="AA21" i="1"/>
  <c r="AB21" i="1"/>
  <c r="AA20" i="1"/>
  <c r="AB20" i="1"/>
  <c r="AB19" i="1"/>
  <c r="AA19" i="1"/>
  <c r="AB18" i="1"/>
  <c r="AA18" i="1"/>
  <c r="AB17" i="1"/>
  <c r="AA16" i="1"/>
  <c r="AB16" i="1"/>
  <c r="AB15" i="1"/>
  <c r="AA15" i="1"/>
  <c r="AA14" i="1"/>
  <c r="AB14" i="1"/>
  <c r="AB13" i="1"/>
  <c r="AA13" i="1"/>
  <c r="AA12" i="1"/>
  <c r="AB12" i="1"/>
  <c r="AB11" i="1"/>
  <c r="AA11" i="1"/>
  <c r="H16" i="1"/>
  <c r="H8" i="1"/>
  <c r="H22" i="1"/>
  <c r="H18" i="1"/>
  <c r="H14" i="1"/>
  <c r="H20" i="1"/>
  <c r="H19" i="1"/>
  <c r="H15" i="1"/>
  <c r="H9" i="1"/>
  <c r="H7" i="1"/>
  <c r="AB8" i="1"/>
  <c r="AA8" i="1"/>
  <c r="AB7" i="1"/>
  <c r="AA7" i="1"/>
  <c r="AA10" i="1"/>
  <c r="AB10" i="1"/>
  <c r="AA6" i="1"/>
  <c r="AB6" i="1"/>
  <c r="H10" i="1"/>
  <c r="AB9" i="1"/>
  <c r="H5" i="1"/>
  <c r="M5" i="1"/>
  <c r="N5" i="1"/>
  <c r="S5" i="1"/>
  <c r="T5" i="1"/>
  <c r="Y5" i="1"/>
  <c r="Z5" i="1" s="1"/>
  <c r="H4" i="1"/>
  <c r="M4" i="1"/>
  <c r="N4" i="1"/>
  <c r="S4" i="1"/>
  <c r="T4" i="1"/>
  <c r="Y4" i="1"/>
  <c r="Z4" i="1" s="1"/>
  <c r="K28" i="1" l="1"/>
  <c r="L28" i="1"/>
  <c r="P28" i="1"/>
  <c r="Q28" i="1"/>
  <c r="J28" i="1"/>
  <c r="R28" i="1"/>
  <c r="W28" i="1"/>
  <c r="X28" i="1" s="1"/>
  <c r="AC28" i="1"/>
  <c r="AA5" i="1"/>
  <c r="AA4" i="1"/>
  <c r="AB5" i="1"/>
  <c r="AB4" i="1"/>
  <c r="O28" i="1" l="1"/>
  <c r="U28" i="1"/>
  <c r="V28" i="1" s="1"/>
  <c r="M3" i="1"/>
  <c r="N3" i="1"/>
  <c r="S3" i="1"/>
  <c r="T3" i="1"/>
  <c r="Y3" i="1"/>
  <c r="Z3" i="1" s="1"/>
  <c r="AA3" i="1" l="1"/>
  <c r="H3" i="1"/>
  <c r="T2" i="1"/>
  <c r="S2" i="1"/>
  <c r="N2" i="1"/>
  <c r="M2" i="1"/>
  <c r="AB3" i="1" l="1"/>
  <c r="Y2" i="1"/>
  <c r="Z2" i="1" s="1"/>
  <c r="AA2" i="1" l="1"/>
  <c r="I27" i="1" s="1"/>
  <c r="H2" i="1"/>
  <c r="Q27" i="1" l="1"/>
  <c r="AC27" i="1"/>
  <c r="K27" i="1"/>
  <c r="J27" i="1"/>
  <c r="L27" i="1"/>
  <c r="R27" i="1"/>
  <c r="P27" i="1"/>
  <c r="U27" i="1" s="1"/>
  <c r="W27" i="1"/>
  <c r="X27" i="1" s="1"/>
  <c r="I23" i="1"/>
  <c r="I26" i="1"/>
  <c r="I25" i="1"/>
  <c r="I24" i="1"/>
  <c r="I15" i="1"/>
  <c r="I19" i="1"/>
  <c r="I12" i="1"/>
  <c r="I13" i="1"/>
  <c r="I22" i="1"/>
  <c r="I16" i="1"/>
  <c r="I17" i="1"/>
  <c r="I11" i="1"/>
  <c r="I21" i="1"/>
  <c r="I14" i="1"/>
  <c r="I18" i="1"/>
  <c r="I20" i="1"/>
  <c r="I9" i="1"/>
  <c r="I10" i="1"/>
  <c r="I8" i="1"/>
  <c r="I7" i="1"/>
  <c r="I6" i="1"/>
  <c r="AB2" i="1"/>
  <c r="I4" i="1"/>
  <c r="J4" i="1" s="1"/>
  <c r="I5" i="1"/>
  <c r="I2" i="1"/>
  <c r="I3" i="1"/>
  <c r="O27" i="1" l="1"/>
  <c r="V27" i="1" s="1"/>
  <c r="P24" i="1"/>
  <c r="AC24" i="1"/>
  <c r="J24" i="1"/>
  <c r="K24" i="1"/>
  <c r="R24" i="1"/>
  <c r="L24" i="1"/>
  <c r="W24" i="1"/>
  <c r="X24" i="1" s="1"/>
  <c r="Q24" i="1"/>
  <c r="L25" i="1"/>
  <c r="J25" i="1"/>
  <c r="K25" i="1"/>
  <c r="Q25" i="1"/>
  <c r="R25" i="1"/>
  <c r="W25" i="1"/>
  <c r="X25" i="1" s="1"/>
  <c r="AC25" i="1"/>
  <c r="P25" i="1"/>
  <c r="AC26" i="1"/>
  <c r="J26" i="1"/>
  <c r="Q26" i="1"/>
  <c r="K26" i="1"/>
  <c r="L26" i="1"/>
  <c r="W26" i="1"/>
  <c r="X26" i="1" s="1"/>
  <c r="P26" i="1"/>
  <c r="R26" i="1"/>
  <c r="J23" i="1"/>
  <c r="L23" i="1"/>
  <c r="R23" i="1"/>
  <c r="W23" i="1"/>
  <c r="X23" i="1" s="1"/>
  <c r="P23" i="1"/>
  <c r="K23" i="1"/>
  <c r="AC23" i="1"/>
  <c r="Q23" i="1"/>
  <c r="L20" i="1"/>
  <c r="W20" i="1"/>
  <c r="X20" i="1" s="1"/>
  <c r="P20" i="1"/>
  <c r="Q20" i="1"/>
  <c r="AC20" i="1"/>
  <c r="R20" i="1"/>
  <c r="J20" i="1"/>
  <c r="K20" i="1"/>
  <c r="J11" i="1"/>
  <c r="AC11" i="1"/>
  <c r="Q11" i="1"/>
  <c r="R11" i="1"/>
  <c r="W11" i="1"/>
  <c r="X11" i="1" s="1"/>
  <c r="P11" i="1"/>
  <c r="L11" i="1"/>
  <c r="K11" i="1"/>
  <c r="AC13" i="1"/>
  <c r="L13" i="1"/>
  <c r="P13" i="1"/>
  <c r="Q13" i="1"/>
  <c r="R13" i="1"/>
  <c r="W13" i="1"/>
  <c r="X13" i="1" s="1"/>
  <c r="J13" i="1"/>
  <c r="K13" i="1"/>
  <c r="P18" i="1"/>
  <c r="W18" i="1"/>
  <c r="X18" i="1" s="1"/>
  <c r="L18" i="1"/>
  <c r="Q18" i="1"/>
  <c r="AC18" i="1"/>
  <c r="K18" i="1"/>
  <c r="J18" i="1"/>
  <c r="R18" i="1"/>
  <c r="Q17" i="1"/>
  <c r="W17" i="1"/>
  <c r="X17" i="1" s="1"/>
  <c r="L17" i="1"/>
  <c r="R17" i="1"/>
  <c r="K17" i="1"/>
  <c r="P17" i="1"/>
  <c r="J17" i="1"/>
  <c r="AC17" i="1"/>
  <c r="P12" i="1"/>
  <c r="R12" i="1"/>
  <c r="K12" i="1"/>
  <c r="L12" i="1"/>
  <c r="AC12" i="1"/>
  <c r="Q12" i="1"/>
  <c r="W12" i="1"/>
  <c r="X12" i="1" s="1"/>
  <c r="J12" i="1"/>
  <c r="J14" i="1"/>
  <c r="L14" i="1"/>
  <c r="Q14" i="1"/>
  <c r="R14" i="1"/>
  <c r="AC14" i="1"/>
  <c r="W14" i="1"/>
  <c r="X14" i="1" s="1"/>
  <c r="K14" i="1"/>
  <c r="P14" i="1"/>
  <c r="Q16" i="1"/>
  <c r="W16" i="1"/>
  <c r="X16" i="1" s="1"/>
  <c r="AC16" i="1"/>
  <c r="J16" i="1"/>
  <c r="P16" i="1"/>
  <c r="K16" i="1"/>
  <c r="L16" i="1"/>
  <c r="R16" i="1"/>
  <c r="K19" i="1"/>
  <c r="Q19" i="1"/>
  <c r="W19" i="1"/>
  <c r="X19" i="1" s="1"/>
  <c r="L19" i="1"/>
  <c r="AC19" i="1"/>
  <c r="R19" i="1"/>
  <c r="J19" i="1"/>
  <c r="P19" i="1"/>
  <c r="AC21" i="1"/>
  <c r="J21" i="1"/>
  <c r="Q21" i="1"/>
  <c r="L21" i="1"/>
  <c r="K21" i="1"/>
  <c r="R21" i="1"/>
  <c r="P21" i="1"/>
  <c r="W21" i="1"/>
  <c r="X21" i="1" s="1"/>
  <c r="L22" i="1"/>
  <c r="AC22" i="1"/>
  <c r="W22" i="1"/>
  <c r="X22" i="1" s="1"/>
  <c r="R22" i="1"/>
  <c r="J22" i="1"/>
  <c r="K22" i="1"/>
  <c r="Q22" i="1"/>
  <c r="P22" i="1"/>
  <c r="J15" i="1"/>
  <c r="Q15" i="1"/>
  <c r="K15" i="1"/>
  <c r="R15" i="1"/>
  <c r="L15" i="1"/>
  <c r="W15" i="1"/>
  <c r="X15" i="1" s="1"/>
  <c r="P15" i="1"/>
  <c r="AC15" i="1"/>
  <c r="Q7" i="1"/>
  <c r="L7" i="1"/>
  <c r="P7" i="1"/>
  <c r="K7" i="1"/>
  <c r="J7" i="1"/>
  <c r="R7" i="1"/>
  <c r="AC7" i="1"/>
  <c r="W7" i="1"/>
  <c r="X7" i="1" s="1"/>
  <c r="J8" i="1"/>
  <c r="L8" i="1"/>
  <c r="P8" i="1"/>
  <c r="R8" i="1"/>
  <c r="W8" i="1"/>
  <c r="X8" i="1" s="1"/>
  <c r="AC8" i="1"/>
  <c r="K8" i="1"/>
  <c r="Q8" i="1"/>
  <c r="L10" i="1"/>
  <c r="K10" i="1"/>
  <c r="AC10" i="1"/>
  <c r="Q10" i="1"/>
  <c r="W10" i="1"/>
  <c r="X10" i="1" s="1"/>
  <c r="R10" i="1"/>
  <c r="J10" i="1"/>
  <c r="P10" i="1"/>
  <c r="W6" i="1"/>
  <c r="X6" i="1" s="1"/>
  <c r="P6" i="1"/>
  <c r="J6" i="1"/>
  <c r="AC6" i="1"/>
  <c r="K6" i="1"/>
  <c r="L6" i="1"/>
  <c r="Q6" i="1"/>
  <c r="R6" i="1"/>
  <c r="K9" i="1"/>
  <c r="R9" i="1"/>
  <c r="L9" i="1"/>
  <c r="P9" i="1"/>
  <c r="J9" i="1"/>
  <c r="Q9" i="1"/>
  <c r="AC9" i="1"/>
  <c r="W9" i="1"/>
  <c r="X9" i="1" s="1"/>
  <c r="W4" i="1"/>
  <c r="X4" i="1" s="1"/>
  <c r="Q4" i="1"/>
  <c r="K4" i="1"/>
  <c r="P4" i="1"/>
  <c r="R4" i="1"/>
  <c r="L4" i="1"/>
  <c r="AC4" i="1"/>
  <c r="K5" i="1"/>
  <c r="W5" i="1"/>
  <c r="X5" i="1" s="1"/>
  <c r="Q5" i="1"/>
  <c r="L5" i="1"/>
  <c r="P5" i="1"/>
  <c r="J5" i="1"/>
  <c r="R5" i="1"/>
  <c r="AC5" i="1"/>
  <c r="AC3" i="1"/>
  <c r="L3" i="1"/>
  <c r="W3" i="1"/>
  <c r="X3" i="1" s="1"/>
  <c r="R3" i="1"/>
  <c r="J3" i="1"/>
  <c r="Q3" i="1"/>
  <c r="P3" i="1"/>
  <c r="K3" i="1"/>
  <c r="K2" i="1"/>
  <c r="P2" i="1"/>
  <c r="L2" i="1"/>
  <c r="Q2" i="1"/>
  <c r="W2" i="1"/>
  <c r="X2" i="1" s="1"/>
  <c r="J2" i="1"/>
  <c r="AC2" i="1"/>
  <c r="R2" i="1"/>
  <c r="U25" i="1" l="1"/>
  <c r="U26" i="1"/>
  <c r="O26" i="1"/>
  <c r="U23" i="1"/>
  <c r="O25" i="1"/>
  <c r="V25" i="1" s="1"/>
  <c r="O24" i="1"/>
  <c r="O23" i="1"/>
  <c r="U24" i="1"/>
  <c r="U21" i="1"/>
  <c r="O13" i="1"/>
  <c r="U13" i="1"/>
  <c r="O22" i="1"/>
  <c r="U12" i="1"/>
  <c r="U16" i="1"/>
  <c r="U18" i="1"/>
  <c r="U22" i="1"/>
  <c r="V22" i="1" s="1"/>
  <c r="U14" i="1"/>
  <c r="O12" i="1"/>
  <c r="U15" i="1"/>
  <c r="U11" i="1"/>
  <c r="O20" i="1"/>
  <c r="U20" i="1"/>
  <c r="U19" i="1"/>
  <c r="O17" i="1"/>
  <c r="O15" i="1"/>
  <c r="O21" i="1"/>
  <c r="O19" i="1"/>
  <c r="O16" i="1"/>
  <c r="O14" i="1"/>
  <c r="V14" i="1" s="1"/>
  <c r="U17" i="1"/>
  <c r="O18" i="1"/>
  <c r="V18" i="1" s="1"/>
  <c r="O11" i="1"/>
  <c r="U9" i="1"/>
  <c r="U7" i="1"/>
  <c r="U8" i="1"/>
  <c r="O6" i="1"/>
  <c r="U10" i="1"/>
  <c r="O8" i="1"/>
  <c r="O9" i="1"/>
  <c r="U6" i="1"/>
  <c r="O10" i="1"/>
  <c r="O7" i="1"/>
  <c r="V7" i="1" s="1"/>
  <c r="O4" i="1"/>
  <c r="U4" i="1"/>
  <c r="O5" i="1"/>
  <c r="U5" i="1"/>
  <c r="U3" i="1"/>
  <c r="O3" i="1"/>
  <c r="O2" i="1"/>
  <c r="U2" i="1"/>
  <c r="V26" i="1" l="1"/>
  <c r="V23" i="1"/>
  <c r="V24" i="1"/>
  <c r="V16" i="1"/>
  <c r="V21" i="1"/>
  <c r="V13" i="1"/>
  <c r="V20" i="1"/>
  <c r="V12" i="1"/>
  <c r="V15" i="1"/>
  <c r="V11" i="1"/>
  <c r="V19" i="1"/>
  <c r="V17" i="1"/>
  <c r="V9" i="1"/>
  <c r="V8" i="1"/>
  <c r="V6" i="1"/>
  <c r="V10" i="1"/>
  <c r="V4" i="1"/>
  <c r="V5" i="1"/>
  <c r="V3" i="1"/>
  <c r="V2" i="1"/>
</calcChain>
</file>

<file path=xl/sharedStrings.xml><?xml version="1.0" encoding="utf-8"?>
<sst xmlns="http://schemas.openxmlformats.org/spreadsheetml/2006/main" count="41" uniqueCount="38">
  <si>
    <t>APORTE</t>
  </si>
  <si>
    <t>LUCRO</t>
  </si>
  <si>
    <t>NO BOLSO</t>
  </si>
  <si>
    <t>DATA</t>
  </si>
  <si>
    <t>MONTANTE</t>
  </si>
  <si>
    <t>REINVESTIR</t>
  </si>
  <si>
    <t>APLICAÇÃO</t>
  </si>
  <si>
    <t>RENDA FIXA</t>
  </si>
  <si>
    <t>PREV LUCRO</t>
  </si>
  <si>
    <t>TOT RF</t>
  </si>
  <si>
    <t>NORMAL</t>
  </si>
  <si>
    <t>DAYTRADE</t>
  </si>
  <si>
    <t>EMOL.</t>
  </si>
  <si>
    <t>LIQUID.</t>
  </si>
  <si>
    <t>REGISTRO</t>
  </si>
  <si>
    <t>EMOL CP</t>
  </si>
  <si>
    <t>LIQD CP</t>
  </si>
  <si>
    <t>REG CP</t>
  </si>
  <si>
    <t>ISS</t>
  </si>
  <si>
    <t>TAXA CP</t>
  </si>
  <si>
    <t>OUTRAS CP</t>
  </si>
  <si>
    <t>ISS CP</t>
  </si>
  <si>
    <t>CORRETAGEM</t>
  </si>
  <si>
    <t>OUTROS</t>
  </si>
  <si>
    <t>EMOL VD</t>
  </si>
  <si>
    <t>LIQD VD</t>
  </si>
  <si>
    <t>REG VD</t>
  </si>
  <si>
    <t>ISS VD</t>
  </si>
  <si>
    <t>OUTRAS VD</t>
  </si>
  <si>
    <t>TAXA VD</t>
  </si>
  <si>
    <t>TRADE</t>
  </si>
  <si>
    <t>APORTE RF</t>
  </si>
  <si>
    <t>PATRIMÔNIO</t>
  </si>
  <si>
    <t>PERDA MAX</t>
  </si>
  <si>
    <t>% PERDA</t>
  </si>
  <si>
    <t>SAQUE</t>
  </si>
  <si>
    <t>PROTEÇÃO MÊS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</si>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</sst>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0.0000%"/>
    <numFmt numFmtId="165" formatCode="[$R$-416]\ #,##0.00;[Red]\-[$R$-416]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10" fontId="2" fillId="0" borderId="0" xfId="2" applyNumberFormat="1" applyFont="1"/>
    <xf numFmtId="14" fontId="2" fillId="0" borderId="0" xfId="0" applyNumberFormat="1" applyFont="1"/>
    <xf numFmtId="44" fontId="2" fillId="0" borderId="0" xfId="1" applyNumberFormat="1" applyFont="1"/>
    <xf numFmtId="0" fontId="6" fillId="0" borderId="0" xfId="0" applyFont="1"/>
    <xf numFmtId="164" fontId="7" fillId="0" borderId="0" xfId="0" applyNumberFormat="1" applyFont="1"/>
    <xf numFmtId="165" fontId="5" fillId="0" borderId="0" xfId="0" applyNumberFormat="1" applyFont="1"/>
    <xf numFmtId="10" fontId="5" fillId="0" borderId="0" xfId="0" applyNumberFormat="1" applyFont="1"/>
    <xf numFmtId="44" fontId="8" fillId="0" borderId="0" xfId="1" applyFont="1"/>
    <xf numFmtId="0" fontId="8" fillId="0" borderId="0" xfId="0" applyFont="1"/>
    <xf numFmtId="44" fontId="3" fillId="0" borderId="0" xfId="1" applyFont="1"/>
    <xf numFmtId="44" fontId="8" fillId="0" borderId="0" xfId="1" applyNumberFormat="1" applyFont="1"/>
    <xf numFmtId="10" fontId="2" fillId="0" borderId="0" xfId="0" applyNumberFormat="1" applyFont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44" fontId="2" fillId="0" borderId="0" xfId="0" applyNumberFormat="1" applyFont="1"/>
    <xf numFmtId="0" fontId="2" fillId="0" borderId="0" xfId="0" applyNumberFormat="1" applyFont="1"/>
    <xf numFmtId="0" fontId="8" fillId="0" borderId="0" xfId="0" applyNumberFormat="1" applyFont="1"/>
  </cellXfs>
  <cellStyles count="3">
    <cellStyle name="Moeda" xfId="1" builtinId="4"/>
    <cellStyle name="Normal" xfId="0" builtinId="0"/>
    <cellStyle name="Porcentagem" xfId="2" builtinId="5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AC29" totalsRowCount="1" headerRowDxfId="58">
  <autoFilter ref="A1:AC28"/>
  <tableColumns count="29">
    <tableColumn id="1" name="TRADE" totalsRowLabel="Total" dataDxfId="57" totalsRowDxfId="28"/>
    <tableColumn id="2" name="DATA" dataDxfId="56" totalsRowDxfId="27"/>
    <tableColumn id="12" name="RENDA FIXA" dataDxfId="55" totalsRowDxfId="26" dataCellStyle="Moeda"/>
    <tableColumn id="26" name="APORTE RF" dataDxfId="54" totalsRowDxfId="25" dataCellStyle="Moeda"/>
    <tableColumn id="9" name="SAQUE" dataDxfId="53" totalsRowDxfId="24" dataCellStyle="Moeda"/>
    <tableColumn id="5" name="LUCRO" dataDxfId="52" totalsRowDxfId="23" dataCellStyle="Moeda"/>
    <tableColumn id="3" name="APORTE" dataDxfId="51" totalsRowDxfId="22" dataCellStyle="Moeda">
      <calculatedColumnFormula>380</calculatedColumnFormula>
    </tableColumn>
    <tableColumn id="4" name="MONTANTE" dataDxfId="50" totalsRowDxfId="21" dataCellStyle="Moeda">
      <calculatedColumnFormula>SUMPRODUCT(N(Tabela1[TRADE] &lt;= Tabela1[[#This Row],[TRADE]]), Tabela1[APORTE]) + SUMPRODUCT(N(Tabela1[TRADE] &lt;= Tabela1[[#This Row],[TRADE]]), Tabela1[APORTE RF])</calculatedColumnFormula>
    </tableColumn>
    <tableColumn id="10" name="APLICAÇÃO" dataDxfId="49" totalsRowDxfId="20" dataCellStyle="Moeda">
      <calculatedColumnFormula>Tabela1[MONTANTE] - SUMPRODUCT(N(Tabela1[TRADE] &lt;= Tabela1[[#This Row],[TRADE]]), Tabela1[SAQUE]) + SUMPRODUCT(N(Tabela1[TRADE] &lt; Tabela1[[#This Row],[TRADE]]), Tabela1[REINVESTIR])</calculatedColumnFormula>
    </tableColumn>
    <tableColumn id="11" name="EMOL CP" dataDxfId="48" totalsRowDxfId="19" dataCellStyle="Moeda">
      <calculatedColumnFormula>TRUNC(Tabela1[APLICAÇÃO]  * Plan2!$A$3, 2)</calculatedColumnFormula>
    </tableColumn>
    <tableColumn id="13" name="LIQD CP" dataDxfId="47" totalsRowDxfId="18" dataCellStyle="Moeda">
      <calculatedColumnFormula>TRUNC(Tabela1[APLICAÇÃO]  * Plan2!$B$3, 2)</calculatedColumnFormula>
    </tableColumn>
    <tableColumn id="14" name="REG CP" dataDxfId="46" totalsRowDxfId="17" dataCellStyle="Moeda">
      <calculatedColumnFormula>TRUNC(Tabela1[APLICAÇÃO]  * Plan2!$C$3, 2)</calculatedColumnFormula>
    </tableColumn>
    <tableColumn id="16" name="ISS CP" dataDxfId="45" totalsRowDxfId="16" dataCellStyle="Moeda">
      <calculatedColumnFormula>TRUNC(Plan2!$G$3  * Plan2!$H$3, 2)</calculatedColumnFormula>
    </tableColumn>
    <tableColumn id="19" name="OUTRAS CP" dataDxfId="44" totalsRowDxfId="15" dataCellStyle="Moeda">
      <calculatedColumnFormula>ROUND(Plan2!$G$3 * Plan2!$I$3, 2)</calculatedColumnFormula>
    </tableColumn>
    <tableColumn id="18" name="TAXA CP" dataDxfId="43" totalsRowDxfId="14" dataCellStyle="Moeda">
      <calculatedColumnFormula>Plan2!$G$3 + SUM(Tabela1[[#This Row],[EMOL CP]]:Tabela1[[#This Row],[OUTRAS CP]])</calculatedColumnFormula>
    </tableColumn>
    <tableColumn id="25" name="EMOL VD" dataDxfId="42" totalsRowDxfId="13" dataCellStyle="Moeda">
      <calculatedColumnFormula>TRUNC(Tabela1[APLICAÇÃO] * 2  * Plan2!$A$3, 2)</calculatedColumnFormula>
    </tableColumn>
    <tableColumn id="24" name="LIQD VD" dataDxfId="41" totalsRowDxfId="12" dataCellStyle="Moeda">
      <calculatedColumnFormula>TRUNC(Tabela1[APLICAÇÃO] * 2  * Plan2!$B$3, 2)</calculatedColumnFormula>
    </tableColumn>
    <tableColumn id="23" name="REG VD" dataDxfId="40" totalsRowDxfId="11" dataCellStyle="Moeda">
      <calculatedColumnFormula>TRUNC(Tabela1[APLICAÇÃO] * 2  * Plan2!$C$3, 2)</calculatedColumnFormula>
    </tableColumn>
    <tableColumn id="22" name="ISS VD" dataDxfId="39" totalsRowDxfId="10" dataCellStyle="Moeda">
      <calculatedColumnFormula>TRUNC(Plan2!$G$3  * Plan2!$H$3, 2)</calculatedColumnFormula>
    </tableColumn>
    <tableColumn id="21" name="OUTRAS VD" dataDxfId="38" totalsRowDxfId="9" dataCellStyle="Moeda">
      <calculatedColumnFormula>ROUND(Plan2!$G$3 * Plan2!$I$3, 2)</calculatedColumnFormula>
    </tableColumn>
    <tableColumn id="20" name="TAXA VD" dataDxfId="37" totalsRowDxfId="8" dataCellStyle="Moeda">
      <calculatedColumnFormula>Plan2!$G$3 + SUM(Tabela1[[#This Row],[EMOL VD]]:Tabela1[[#This Row],[OUTRAS VD]])</calculatedColumnFormula>
    </tableColumn>
    <tableColumn id="17" name="PREV LUCRO" dataDxfId="36" totalsRowDxfId="7" dataCellStyle="Moeda">
      <calculatedColumnFormula>(((Tabela1[APLICAÇÃO] * 2) - Tabela1[TAXA VD]) - (Tabela1[APLICAÇÃO] + Tabela1[TAXA CP])) * 0.85</calculatedColumnFormula>
    </tableColumn>
    <tableColumn id="28" name="PERDA MAX" dataDxfId="35" totalsRowDxfId="6" dataCellStyle="Moeda">
      <calculatedColumnFormula>Tabela1[APLICAÇÃO] - (ROUND(Tabela1[RENDA FIXA] * 0.1,2))</calculatedColumnFormula>
    </tableColumn>
    <tableColumn id="29" name="% PERDA" dataDxfId="34" totalsRowDxfId="5" dataCellStyle="Porcentagem">
      <calculatedColumnFormula>Tabela1[[#This Row],[PERDA MAX]]/Tabela1[[#This Row],[APLICAÇÃO]]</calculatedColumnFormula>
    </tableColumn>
    <tableColumn id="6" name="NO BOLSO" dataDxfId="33" totalsRowDxfId="4">
      <calculatedColumnFormula>IF(Tabela1[LUCRO] &lt; (Tabela1[RENDA FIXA]/2), 0.5, 0.8)</calculatedColumnFormula>
    </tableColumn>
    <tableColumn id="7" name="PROTEÇÃO MÊS" dataDxfId="32" totalsRowDxfId="3" dataCellStyle="Moeda">
      <calculatedColumnFormula>IF(Tabela1[LUCRO] &lt; 0, 0, ROUND(Tabela1[LUCRO]*Tabela1[NO BOLSO], 2))</calculatedColumnFormula>
    </tableColumn>
    <tableColumn id="8" name="REINVESTIR" dataDxfId="31" totalsRowDxfId="2" dataCellStyle="Moeda">
      <calculatedColumnFormula>Tabela1[LUCRO]-Tabela1[PROTEÇÃO MÊS]</calculatedColumnFormula>
    </tableColumn>
    <tableColumn id="15" name="TOT RF" dataDxfId="30" totalsRowDxfId="1" dataCellStyle="Moeda">
      <calculatedColumnFormula>Tabela1[RENDA FIXA] + Tabela1[PROTEÇÃO MÊS] - Tabela1[APORTE RF]</calculatedColumnFormula>
    </tableColumn>
    <tableColumn id="27" name="PATRIMÔNIO" dataDxfId="29" totalsRowDxfId="0" dataCellStyle="Moeda">
      <calculatedColumnFormula>Tabela1[TOT RF] + Tabela1[REINVESTIR] + Tabela1[APLICAÇÃO]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C29"/>
  <sheetViews>
    <sheetView tabSelected="1" workbookViewId="0">
      <selection activeCell="AC26" sqref="AC26"/>
    </sheetView>
  </sheetViews>
  <sheetFormatPr defaultRowHeight="11.25" x14ac:dyDescent="0.2"/>
  <cols>
    <col min="1" max="1" width="7.5703125" style="1" bestFit="1" customWidth="1"/>
    <col min="2" max="2" width="9" style="1" bestFit="1" customWidth="1"/>
    <col min="3" max="3" width="11.5703125" style="1" bestFit="1" customWidth="1"/>
    <col min="4" max="4" width="10.140625" style="1" bestFit="1" customWidth="1"/>
    <col min="5" max="5" width="8.5703125" style="1" bestFit="1" customWidth="1"/>
    <col min="6" max="6" width="11.5703125" style="3" bestFit="1" customWidth="1"/>
    <col min="7" max="7" width="10.85546875" style="1" customWidth="1"/>
    <col min="8" max="8" width="12.85546875" style="1" hidden="1" customWidth="1"/>
    <col min="9" max="9" width="11.5703125" style="1" bestFit="1" customWidth="1"/>
    <col min="10" max="10" width="7.85546875" style="1" hidden="1" customWidth="1"/>
    <col min="11" max="11" width="7.140625" style="1" hidden="1" customWidth="1"/>
    <col min="12" max="12" width="10.5703125" style="1" hidden="1" customWidth="1"/>
    <col min="13" max="13" width="8.85546875" style="1" hidden="1" customWidth="1"/>
    <col min="14" max="19" width="9.140625" style="1" hidden="1" customWidth="1"/>
    <col min="20" max="20" width="11.42578125" style="1" hidden="1" customWidth="1"/>
    <col min="21" max="21" width="11.5703125" style="1" hidden="1" customWidth="1"/>
    <col min="22" max="22" width="11.42578125" style="12" bestFit="1" customWidth="1"/>
    <col min="23" max="23" width="11.5703125" style="1" bestFit="1" customWidth="1"/>
    <col min="24" max="24" width="9.140625" style="1" bestFit="1" customWidth="1"/>
    <col min="25" max="25" width="9.85546875" style="1" bestFit="1" customWidth="1"/>
    <col min="26" max="26" width="13.42578125" style="1" bestFit="1" customWidth="1"/>
    <col min="27" max="27" width="11.5703125" style="1" bestFit="1" customWidth="1"/>
    <col min="28" max="29" width="12.85546875" style="1" bestFit="1" customWidth="1"/>
    <col min="30" max="16384" width="9.140625" style="1"/>
  </cols>
  <sheetData>
    <row r="1" spans="1:29" x14ac:dyDescent="0.2">
      <c r="A1" s="2" t="s">
        <v>30</v>
      </c>
      <c r="B1" s="2" t="s">
        <v>3</v>
      </c>
      <c r="C1" s="2" t="s">
        <v>7</v>
      </c>
      <c r="D1" s="2" t="s">
        <v>31</v>
      </c>
      <c r="E1" s="13" t="s">
        <v>35</v>
      </c>
      <c r="F1" s="13" t="s">
        <v>1</v>
      </c>
      <c r="G1" s="2" t="s">
        <v>0</v>
      </c>
      <c r="H1" s="2" t="s">
        <v>4</v>
      </c>
      <c r="I1" s="2" t="s">
        <v>6</v>
      </c>
      <c r="J1" s="2" t="s">
        <v>15</v>
      </c>
      <c r="K1" s="2" t="s">
        <v>16</v>
      </c>
      <c r="L1" s="2" t="s">
        <v>17</v>
      </c>
      <c r="M1" s="2" t="s">
        <v>21</v>
      </c>
      <c r="N1" s="2" t="s">
        <v>20</v>
      </c>
      <c r="O1" s="2" t="s">
        <v>19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8</v>
      </c>
      <c r="W1" s="2" t="s">
        <v>33</v>
      </c>
      <c r="X1" s="2" t="s">
        <v>34</v>
      </c>
      <c r="Y1" s="2" t="s">
        <v>2</v>
      </c>
      <c r="Z1" s="2" t="s">
        <v>36</v>
      </c>
      <c r="AA1" s="2" t="s">
        <v>5</v>
      </c>
      <c r="AB1" s="2" t="s">
        <v>9</v>
      </c>
      <c r="AC1" s="2" t="s">
        <v>32</v>
      </c>
    </row>
    <row r="2" spans="1:29" x14ac:dyDescent="0.2">
      <c r="A2" s="1">
        <v>1</v>
      </c>
      <c r="B2" s="5">
        <v>41000</v>
      </c>
      <c r="C2" s="3">
        <v>0</v>
      </c>
      <c r="D2" s="3">
        <v>0</v>
      </c>
      <c r="E2" s="3">
        <v>0</v>
      </c>
      <c r="F2" s="3">
        <v>366.15</v>
      </c>
      <c r="G2" s="3">
        <f>400</f>
        <v>400</v>
      </c>
      <c r="H2" s="3">
        <f>SUMPRODUCT(N(Tabela1[TRADE] &lt;= Tabela1[[#This Row],[TRADE]]), Tabela1[APORTE]) + SUMPRODUCT(N(Tabela1[TRADE] &lt;= Tabela1[[#This Row],[TRADE]]), Tabela1[APORTE RF])</f>
        <v>400</v>
      </c>
      <c r="I2" s="3">
        <f>Tabela1[MONTANTE] - SUMPRODUCT(N(Tabela1[TRADE] &lt;= Tabela1[[#This Row],[TRADE]]), Tabela1[SAQUE]) + SUMPRODUCT(N(Tabela1[TRADE] &lt; Tabela1[[#This Row],[TRADE]]), Tabela1[REINVESTIR])</f>
        <v>400</v>
      </c>
      <c r="J2" s="3">
        <f>TRUNC(Tabela1[APLICAÇÃO]  * Plan2!$A$3, 2)</f>
        <v>0.14000000000000001</v>
      </c>
      <c r="K2" s="3">
        <f>TRUNC(Tabela1[APLICAÇÃO]  * Plan2!$B$3, 2)</f>
        <v>0.11</v>
      </c>
      <c r="L2" s="3">
        <f>TRUNC(Tabela1[APLICAÇÃO]  * Plan2!$C$3, 2)</f>
        <v>0.27</v>
      </c>
      <c r="M2" s="3">
        <f>TRUNC(Plan2!$G$3  * Plan2!$H$3, 2)</f>
        <v>0.28999999999999998</v>
      </c>
      <c r="N2" s="3">
        <f>ROUND(Plan2!$G$3 * Plan2!$I$3, 2)</f>
        <v>0.57999999999999996</v>
      </c>
      <c r="O2" s="3">
        <f>Plan2!$G$3 + SUM(Tabela1[[#This Row],[EMOL CP]]:Tabela1[[#This Row],[OUTRAS CP]])</f>
        <v>16.29</v>
      </c>
      <c r="P2" s="3">
        <f>TRUNC(Tabela1[APLICAÇÃO] * 2  * Plan2!$A$3, 2)</f>
        <v>0.28999999999999998</v>
      </c>
      <c r="Q2" s="3">
        <f>TRUNC(Tabela1[APLICAÇÃO] * 2  * Plan2!$B$3, 2)</f>
        <v>0.22</v>
      </c>
      <c r="R2" s="3">
        <f>TRUNC(Tabela1[APLICAÇÃO] * 2  * Plan2!$C$3, 2)</f>
        <v>0.55000000000000004</v>
      </c>
      <c r="S2" s="3">
        <f>TRUNC(Plan2!$G$3  * Plan2!$H$3, 2)</f>
        <v>0.28999999999999998</v>
      </c>
      <c r="T2" s="3">
        <f>ROUND(Plan2!$G$3 * Plan2!$I$3, 2)</f>
        <v>0.57999999999999996</v>
      </c>
      <c r="U2" s="3">
        <f>Plan2!$G$3 + SUM(Tabela1[[#This Row],[EMOL VD]]:Tabela1[[#This Row],[OUTRAS VD]])</f>
        <v>16.830000000000002</v>
      </c>
      <c r="V2" s="3">
        <f>(((Tabela1[APLICAÇÃO] * 2) - Tabela1[TAXA VD]) - (Tabela1[APLICAÇÃO] + Tabela1[TAXA CP])) * 0.85</f>
        <v>311.84799999999996</v>
      </c>
      <c r="W2" s="11">
        <f>Tabela1[APLICAÇÃO] - (ROUND(Tabela1[RENDA FIXA] * 0.1,2))</f>
        <v>400</v>
      </c>
      <c r="X2" s="4">
        <f>Tabela1[[#This Row],[PERDA MAX]]/Tabela1[[#This Row],[APLICAÇÃO]]</f>
        <v>1</v>
      </c>
      <c r="Y2" s="4">
        <f>IF(Tabela1[LUCRO] &lt; (Tabela1[RENDA FIXA]/2), 0.5, 0.8)</f>
        <v>0.8</v>
      </c>
      <c r="Z2" s="3">
        <f>IF(Tabela1[LUCRO] &lt; 0, 0, ROUND(Tabela1[LUCRO]*Tabela1[NO BOLSO], 2))</f>
        <v>292.92</v>
      </c>
      <c r="AA2" s="3">
        <f>Tabela1[LUCRO]-Tabela1[PROTEÇÃO MÊS]</f>
        <v>73.229999999999961</v>
      </c>
      <c r="AB2" s="3">
        <f>Tabela1[RENDA FIXA] + Tabela1[PROTEÇÃO MÊS] - Tabela1[APORTE RF]</f>
        <v>292.92</v>
      </c>
      <c r="AC2" s="6">
        <f>Tabela1[TOT RF] + Tabela1[REINVESTIR] + Tabela1[APLICAÇÃO]</f>
        <v>766.15</v>
      </c>
    </row>
    <row r="3" spans="1:29" x14ac:dyDescent="0.2">
      <c r="A3" s="1">
        <v>2</v>
      </c>
      <c r="B3" s="5">
        <v>41030</v>
      </c>
      <c r="C3" s="3">
        <v>292.92</v>
      </c>
      <c r="D3" s="3">
        <v>0</v>
      </c>
      <c r="E3" s="3">
        <v>0</v>
      </c>
      <c r="F3" s="3">
        <v>494.07</v>
      </c>
      <c r="G3" s="3">
        <f>142</f>
        <v>142</v>
      </c>
      <c r="H3" s="3">
        <f>SUMPRODUCT(N(Tabela1[TRADE] &lt;= Tabela1[[#This Row],[TRADE]]), Tabela1[APORTE]) + SUMPRODUCT(N(Tabela1[TRADE] &lt;= Tabela1[[#This Row],[TRADE]]), Tabela1[APORTE RF])</f>
        <v>542</v>
      </c>
      <c r="I3" s="3">
        <f>Tabela1[MONTANTE] - SUMPRODUCT(N(Tabela1[TRADE] &lt;= Tabela1[[#This Row],[TRADE]]), Tabela1[SAQUE]) + SUMPRODUCT(N(Tabela1[TRADE] &lt; Tabela1[[#This Row],[TRADE]]), Tabela1[REINVESTIR])</f>
        <v>615.23</v>
      </c>
      <c r="J3" s="3">
        <f>TRUNC(Tabela1[APLICAÇÃO]  * Plan2!$A$3, 2)</f>
        <v>0.22</v>
      </c>
      <c r="K3" s="3">
        <f>TRUNC(Tabela1[APLICAÇÃO]  * Plan2!$B$3, 2)</f>
        <v>0.16</v>
      </c>
      <c r="L3" s="3">
        <f>TRUNC(Tabela1[APLICAÇÃO]  * Plan2!$C$3, 2)</f>
        <v>0.42</v>
      </c>
      <c r="M3" s="3">
        <f>TRUNC(Plan2!$G$3  * Plan2!$H$3, 2)</f>
        <v>0.28999999999999998</v>
      </c>
      <c r="N3" s="3">
        <f>ROUND(Plan2!$G$3 * Plan2!$I$3, 2)</f>
        <v>0.57999999999999996</v>
      </c>
      <c r="O3" s="3">
        <f>Plan2!$G$3 + SUM(Tabela1[[#This Row],[EMOL CP]]:Tabela1[[#This Row],[OUTRAS CP]])</f>
        <v>16.57</v>
      </c>
      <c r="P3" s="3">
        <f>TRUNC(Tabela1[APLICAÇÃO] * 2  * Plan2!$A$3, 2)</f>
        <v>0.45</v>
      </c>
      <c r="Q3" s="3">
        <f>TRUNC(Tabela1[APLICAÇÃO] * 2  * Plan2!$B$3, 2)</f>
        <v>0.33</v>
      </c>
      <c r="R3" s="3">
        <f>TRUNC(Tabela1[APLICAÇÃO] * 2  * Plan2!$C$3, 2)</f>
        <v>0.85</v>
      </c>
      <c r="S3" s="3">
        <f>TRUNC(Plan2!$G$3  * Plan2!$H$3, 2)</f>
        <v>0.28999999999999998</v>
      </c>
      <c r="T3" s="3">
        <f>ROUND(Plan2!$G$3 * Plan2!$I$3, 2)</f>
        <v>0.57999999999999996</v>
      </c>
      <c r="U3" s="3">
        <f>Plan2!$G$3 + SUM(Tabela1[[#This Row],[EMOL VD]]:Tabela1[[#This Row],[OUTRAS VD]])</f>
        <v>17.399999999999999</v>
      </c>
      <c r="V3" s="3">
        <f>(((Tabela1[APLICAÇÃO] * 2) - Tabela1[TAXA VD]) - (Tabela1[APLICAÇÃO] + Tabela1[TAXA CP])) * 0.85</f>
        <v>494.07099999999986</v>
      </c>
      <c r="W3" s="11">
        <f>Tabela1[APLICAÇÃO] - (ROUND(Tabela1[RENDA FIXA] * 0.1,2))</f>
        <v>585.94000000000005</v>
      </c>
      <c r="X3" s="4">
        <f>Tabela1[[#This Row],[PERDA MAX]]/Tabela1[[#This Row],[APLICAÇÃO]]</f>
        <v>0.9523917884368448</v>
      </c>
      <c r="Y3" s="4">
        <f>IF(Tabela1[LUCRO] &lt; (Tabela1[RENDA FIXA]/2), 0.5, 0.8)</f>
        <v>0.8</v>
      </c>
      <c r="Z3" s="3">
        <f>IF(Tabela1[LUCRO] &lt; 0, 0, ROUND(Tabela1[LUCRO]*Tabela1[NO BOLSO], 2))</f>
        <v>395.26</v>
      </c>
      <c r="AA3" s="3">
        <f>Tabela1[LUCRO]-Tabela1[PROTEÇÃO MÊS]</f>
        <v>98.81</v>
      </c>
      <c r="AB3" s="3">
        <f>Tabela1[RENDA FIXA] + Tabela1[PROTEÇÃO MÊS] - Tabela1[APORTE RF]</f>
        <v>688.18000000000006</v>
      </c>
      <c r="AC3" s="6">
        <f>Tabela1[TOT RF] + Tabela1[REINVESTIR] + Tabela1[APLICAÇÃO]</f>
        <v>1402.22</v>
      </c>
    </row>
    <row r="4" spans="1:29" x14ac:dyDescent="0.2">
      <c r="A4" s="1">
        <v>3</v>
      </c>
      <c r="B4" s="5">
        <v>41061</v>
      </c>
      <c r="C4" s="3">
        <v>688.18</v>
      </c>
      <c r="D4" s="3">
        <v>0</v>
      </c>
      <c r="E4" s="3">
        <v>0</v>
      </c>
      <c r="F4" s="3">
        <v>697.93</v>
      </c>
      <c r="G4" s="6">
        <f>142</f>
        <v>142</v>
      </c>
      <c r="H4" s="6">
        <f>SUMPRODUCT(N(Tabela1[TRADE] &lt;= Tabela1[[#This Row],[TRADE]]), Tabela1[APORTE]) + SUMPRODUCT(N(Tabela1[TRADE] &lt;= Tabela1[[#This Row],[TRADE]]), Tabela1[APORTE RF])</f>
        <v>684</v>
      </c>
      <c r="I4" s="6">
        <f>Tabela1[MONTANTE] - SUMPRODUCT(N(Tabela1[TRADE] &lt;= Tabela1[[#This Row],[TRADE]]), Tabela1[SAQUE]) + SUMPRODUCT(N(Tabela1[TRADE] &lt; Tabela1[[#This Row],[TRADE]]), Tabela1[REINVESTIR])</f>
        <v>856.04</v>
      </c>
      <c r="J4" s="6">
        <f>TRUNC(Tabela1[APLICAÇÃO]  * Plan2!$A$3, 2)</f>
        <v>0.31</v>
      </c>
      <c r="K4" s="6">
        <f>TRUNC(Tabela1[APLICAÇÃO]  * Plan2!$B$3, 2)</f>
        <v>0.23</v>
      </c>
      <c r="L4" s="6">
        <f>TRUNC(Tabela1[APLICAÇÃO]  * Plan2!$C$3, 2)</f>
        <v>0.59</v>
      </c>
      <c r="M4" s="6">
        <f>TRUNC(Plan2!$G$3  * Plan2!$H$3, 2)</f>
        <v>0.28999999999999998</v>
      </c>
      <c r="N4" s="6">
        <f>ROUND(Plan2!$G$3 * Plan2!$I$3, 2)</f>
        <v>0.57999999999999996</v>
      </c>
      <c r="O4" s="6">
        <f>Plan2!$G$3 + SUM(Tabela1[[#This Row],[EMOL CP]]:Tabela1[[#This Row],[OUTRAS CP]])</f>
        <v>16.899999999999999</v>
      </c>
      <c r="P4" s="6">
        <f>TRUNC(Tabela1[APLICAÇÃO] * 2  * Plan2!$A$3, 2)</f>
        <v>0.63</v>
      </c>
      <c r="Q4" s="6">
        <f>TRUNC(Tabela1[APLICAÇÃO] * 2  * Plan2!$B$3, 2)</f>
        <v>0.47</v>
      </c>
      <c r="R4" s="6">
        <f>TRUNC(Tabela1[APLICAÇÃO] * 2  * Plan2!$C$3, 2)</f>
        <v>1.18</v>
      </c>
      <c r="S4" s="6">
        <f>TRUNC(Plan2!$G$3  * Plan2!$H$3, 2)</f>
        <v>0.28999999999999998</v>
      </c>
      <c r="T4" s="6">
        <f>ROUND(Plan2!$G$3 * Plan2!$I$3, 2)</f>
        <v>0.57999999999999996</v>
      </c>
      <c r="U4" s="6">
        <f>Plan2!$G$3 + SUM(Tabela1[[#This Row],[EMOL VD]]:Tabela1[[#This Row],[OUTRAS VD]])</f>
        <v>18.05</v>
      </c>
      <c r="V4" s="6">
        <f>(((Tabela1[APLICAÇÃO] * 2) - Tabela1[TAXA VD]) - (Tabela1[APLICAÇÃO] + Tabela1[TAXA CP])) * 0.85</f>
        <v>697.92650000000003</v>
      </c>
      <c r="W4" s="14">
        <f>Tabela1[APLICAÇÃO] - (ROUND(Tabela1[RENDA FIXA] * 0.1,2))</f>
        <v>787.22</v>
      </c>
      <c r="X4" s="4">
        <f>Tabela1[[#This Row],[PERDA MAX]]/Tabela1[[#This Row],[APLICAÇÃO]]</f>
        <v>0.91960656044110101</v>
      </c>
      <c r="Y4" s="15">
        <f>IF(Tabela1[LUCRO] &lt; (Tabela1[RENDA FIXA]/2), 0.5, 0.8)</f>
        <v>0.8</v>
      </c>
      <c r="Z4" s="6">
        <f>IF(Tabela1[LUCRO] &lt; 0, 0, ROUND(Tabela1[LUCRO]*Tabela1[NO BOLSO], 2))</f>
        <v>558.34</v>
      </c>
      <c r="AA4" s="3">
        <f>Tabela1[LUCRO]-Tabela1[PROTEÇÃO MÊS]</f>
        <v>139.58999999999992</v>
      </c>
      <c r="AB4" s="6">
        <f>Tabela1[RENDA FIXA] + Tabela1[PROTEÇÃO MÊS] - Tabela1[APORTE RF]</f>
        <v>1246.52</v>
      </c>
      <c r="AC4" s="6">
        <f>Tabela1[TOT RF] + Tabela1[REINVESTIR] + Tabela1[APLICAÇÃO]</f>
        <v>2242.1499999999996</v>
      </c>
    </row>
    <row r="5" spans="1:29" x14ac:dyDescent="0.2">
      <c r="A5" s="1">
        <v>4</v>
      </c>
      <c r="B5" s="5">
        <v>41091</v>
      </c>
      <c r="C5" s="3">
        <v>1246.52</v>
      </c>
      <c r="D5" s="3">
        <v>0</v>
      </c>
      <c r="E5" s="3">
        <v>0</v>
      </c>
      <c r="F5" s="3">
        <v>936.3</v>
      </c>
      <c r="G5" s="6">
        <f>142</f>
        <v>142</v>
      </c>
      <c r="H5" s="6">
        <f>SUMPRODUCT(N(Tabela1[TRADE] &lt;= Tabela1[[#This Row],[TRADE]]), Tabela1[APORTE]) + SUMPRODUCT(N(Tabela1[TRADE] &lt;= Tabela1[[#This Row],[TRADE]]), Tabela1[APORTE RF])</f>
        <v>826</v>
      </c>
      <c r="I5" s="6">
        <f>Tabela1[MONTANTE] - SUMPRODUCT(N(Tabela1[TRADE] &lt;= Tabela1[[#This Row],[TRADE]]), Tabela1[SAQUE]) + SUMPRODUCT(N(Tabela1[TRADE] &lt; Tabela1[[#This Row],[TRADE]]), Tabela1[REINVESTIR])</f>
        <v>1137.6299999999999</v>
      </c>
      <c r="J5" s="6">
        <f>TRUNC(Tabela1[APLICAÇÃO]  * Plan2!$A$3, 2)</f>
        <v>0.42</v>
      </c>
      <c r="K5" s="6">
        <f>TRUNC(Tabela1[APLICAÇÃO]  * Plan2!$B$3, 2)</f>
        <v>0.31</v>
      </c>
      <c r="L5" s="6">
        <f>TRUNC(Tabela1[APLICAÇÃO]  * Plan2!$C$3, 2)</f>
        <v>0.79</v>
      </c>
      <c r="M5" s="6">
        <f>TRUNC(Plan2!$G$3  * Plan2!$H$3, 2)</f>
        <v>0.28999999999999998</v>
      </c>
      <c r="N5" s="6">
        <f>ROUND(Plan2!$G$3 * Plan2!$I$3, 2)</f>
        <v>0.57999999999999996</v>
      </c>
      <c r="O5" s="6">
        <f>Plan2!$G$3 + SUM(Tabela1[[#This Row],[EMOL CP]]:Tabela1[[#This Row],[OUTRAS CP]])</f>
        <v>17.29</v>
      </c>
      <c r="P5" s="6">
        <f>TRUNC(Tabela1[APLICAÇÃO] * 2  * Plan2!$A$3, 2)</f>
        <v>0.84</v>
      </c>
      <c r="Q5" s="6">
        <f>TRUNC(Tabela1[APLICAÇÃO] * 2  * Plan2!$B$3, 2)</f>
        <v>0.62</v>
      </c>
      <c r="R5" s="6">
        <f>TRUNC(Tabela1[APLICAÇÃO] * 2  * Plan2!$C$3, 2)</f>
        <v>1.58</v>
      </c>
      <c r="S5" s="6">
        <f>TRUNC(Plan2!$G$3  * Plan2!$H$3, 2)</f>
        <v>0.28999999999999998</v>
      </c>
      <c r="T5" s="6">
        <f>ROUND(Plan2!$G$3 * Plan2!$I$3, 2)</f>
        <v>0.57999999999999996</v>
      </c>
      <c r="U5" s="6">
        <f>Plan2!$G$3 + SUM(Tabela1[[#This Row],[EMOL VD]]:Tabela1[[#This Row],[OUTRAS VD]])</f>
        <v>18.810000000000002</v>
      </c>
      <c r="V5" s="6">
        <f>(((Tabela1[APLICAÇÃO] * 2) - Tabela1[TAXA VD]) - (Tabela1[APLICAÇÃO] + Tabela1[TAXA CP])) * 0.85</f>
        <v>936.30049999999994</v>
      </c>
      <c r="W5" s="14">
        <f>Tabela1[APLICAÇÃO] - (ROUND(Tabela1[RENDA FIXA] * 0.1,2))</f>
        <v>1012.9799999999999</v>
      </c>
      <c r="X5" s="4">
        <f>Tabela1[[#This Row],[PERDA MAX]]/Tabela1[[#This Row],[APLICAÇÃO]]</f>
        <v>0.89043010469133199</v>
      </c>
      <c r="Y5" s="15">
        <f>IF(Tabela1[LUCRO] &lt; (Tabela1[RENDA FIXA]/2), 0.5, 0.8)</f>
        <v>0.8</v>
      </c>
      <c r="Z5" s="6">
        <f>IF(Tabela1[LUCRO] &lt; 0, 0, ROUND(Tabela1[LUCRO]*Tabela1[NO BOLSO], 2))</f>
        <v>749.04</v>
      </c>
      <c r="AA5" s="3">
        <f>Tabela1[LUCRO]-Tabela1[PROTEÇÃO MÊS]</f>
        <v>187.26</v>
      </c>
      <c r="AB5" s="6">
        <f>Tabela1[RENDA FIXA] + Tabela1[PROTEÇÃO MÊS] - Tabela1[APORTE RF]</f>
        <v>1995.56</v>
      </c>
      <c r="AC5" s="6">
        <f>Tabela1[TOT RF] + Tabela1[REINVESTIR] + Tabela1[APLICAÇÃO]</f>
        <v>3320.45</v>
      </c>
    </row>
    <row r="6" spans="1:29" x14ac:dyDescent="0.2">
      <c r="A6" s="1">
        <v>5</v>
      </c>
      <c r="B6" s="5">
        <v>41122</v>
      </c>
      <c r="C6" s="3">
        <v>1995.56</v>
      </c>
      <c r="D6" s="3">
        <v>0</v>
      </c>
      <c r="E6" s="3">
        <v>0</v>
      </c>
      <c r="F6" s="3">
        <v>1215.07</v>
      </c>
      <c r="G6" s="6">
        <f>142</f>
        <v>142</v>
      </c>
      <c r="H6" s="6">
        <f>SUMPRODUCT(N(Tabela1[TRADE] &lt;= Tabela1[[#This Row],[TRADE]]), Tabela1[APORTE]) + SUMPRODUCT(N(Tabela1[TRADE] &lt;= Tabela1[[#This Row],[TRADE]]), Tabela1[APORTE RF])</f>
        <v>968</v>
      </c>
      <c r="I6" s="6">
        <f>Tabela1[MONTANTE] - SUMPRODUCT(N(Tabela1[TRADE] &lt;= Tabela1[[#This Row],[TRADE]]), Tabela1[SAQUE]) + SUMPRODUCT(N(Tabela1[TRADE] &lt; Tabela1[[#This Row],[TRADE]]), Tabela1[REINVESTIR])</f>
        <v>1466.8899999999999</v>
      </c>
      <c r="J6" s="6">
        <f>TRUNC(Tabela1[APLICAÇÃO]  * Plan2!$A$3, 2)</f>
        <v>0.54</v>
      </c>
      <c r="K6" s="6">
        <f>TRUNC(Tabela1[APLICAÇÃO]  * Plan2!$B$3, 2)</f>
        <v>0.4</v>
      </c>
      <c r="L6" s="6">
        <f>TRUNC(Tabela1[APLICAÇÃO]  * Plan2!$C$3, 2)</f>
        <v>1.01</v>
      </c>
      <c r="M6" s="6">
        <f>TRUNC(Plan2!$G$3  * Plan2!$H$3, 2)</f>
        <v>0.28999999999999998</v>
      </c>
      <c r="N6" s="6">
        <f>ROUND(Plan2!$G$3 * Plan2!$I$3, 2)</f>
        <v>0.57999999999999996</v>
      </c>
      <c r="O6" s="6">
        <f>Plan2!$G$3 + SUM(Tabela1[[#This Row],[EMOL CP]]:Tabela1[[#This Row],[OUTRAS CP]])</f>
        <v>17.72</v>
      </c>
      <c r="P6" s="6">
        <f>TRUNC(Tabela1[APLICAÇÃO] * 2  * Plan2!$A$3, 2)</f>
        <v>1.08</v>
      </c>
      <c r="Q6" s="6">
        <f>TRUNC(Tabela1[APLICAÇÃO] * 2  * Plan2!$B$3, 2)</f>
        <v>0.8</v>
      </c>
      <c r="R6" s="6">
        <f>TRUNC(Tabela1[APLICAÇÃO] * 2  * Plan2!$C$3, 2)</f>
        <v>2.0299999999999998</v>
      </c>
      <c r="S6" s="6">
        <f>TRUNC(Plan2!$G$3  * Plan2!$H$3, 2)</f>
        <v>0.28999999999999998</v>
      </c>
      <c r="T6" s="6">
        <f>ROUND(Plan2!$G$3 * Plan2!$I$3, 2)</f>
        <v>0.57999999999999996</v>
      </c>
      <c r="U6" s="6">
        <f>Plan2!$G$3 + SUM(Tabela1[[#This Row],[EMOL VD]]:Tabela1[[#This Row],[OUTRAS VD]])</f>
        <v>19.68</v>
      </c>
      <c r="V6" s="6">
        <f>(((Tabela1[APLICAÇÃO] * 2) - Tabela1[TAXA VD]) - (Tabela1[APLICAÇÃO] + Tabela1[TAXA CP])) * 0.85</f>
        <v>1215.0664999999999</v>
      </c>
      <c r="W6" s="14">
        <f>Tabela1[APLICAÇÃO] - (ROUND(Tabela1[RENDA FIXA] * 0.1,2))</f>
        <v>1267.33</v>
      </c>
      <c r="X6" s="4">
        <f>Tabela1[[#This Row],[PERDA MAX]]/Tabela1[[#This Row],[APLICAÇÃO]]</f>
        <v>0.86395707926293042</v>
      </c>
      <c r="Y6" s="15">
        <f>IF(Tabela1[LUCRO] &lt; (Tabela1[RENDA FIXA]/2), 0.5, 0.8)</f>
        <v>0.8</v>
      </c>
      <c r="Z6" s="6">
        <f>IF(Tabela1[LUCRO] &lt; 0, 0, ROUND(Tabela1[LUCRO]*Tabela1[NO BOLSO], 2))</f>
        <v>972.06</v>
      </c>
      <c r="AA6" s="6">
        <f>Tabela1[LUCRO]-Tabela1[PROTEÇÃO MÊS]</f>
        <v>243.01</v>
      </c>
      <c r="AB6" s="6">
        <f>Tabela1[RENDA FIXA] + Tabela1[PROTEÇÃO MÊS] - Tabela1[APORTE RF]</f>
        <v>2967.62</v>
      </c>
      <c r="AC6" s="6">
        <f>Tabela1[TOT RF] + Tabela1[REINVESTIR] + Tabela1[APLICAÇÃO]</f>
        <v>4677.5200000000004</v>
      </c>
    </row>
    <row r="7" spans="1:29" x14ac:dyDescent="0.2">
      <c r="A7" s="1">
        <v>6</v>
      </c>
      <c r="B7" s="5">
        <v>41153</v>
      </c>
      <c r="C7" s="3">
        <v>2967.62</v>
      </c>
      <c r="D7" s="3">
        <v>0</v>
      </c>
      <c r="E7" s="3">
        <v>0</v>
      </c>
      <c r="F7" s="3">
        <v>1541.01</v>
      </c>
      <c r="G7" s="6">
        <f>142</f>
        <v>142</v>
      </c>
      <c r="H7" s="6">
        <f>SUMPRODUCT(N(Tabela1[TRADE] &lt;= Tabela1[[#This Row],[TRADE]]), Tabela1[APORTE]) + SUMPRODUCT(N(Tabela1[TRADE] &lt;= Tabela1[[#This Row],[TRADE]]), Tabela1[APORTE RF])</f>
        <v>1110</v>
      </c>
      <c r="I7" s="6">
        <f>Tabela1[MONTANTE] - SUMPRODUCT(N(Tabela1[TRADE] &lt;= Tabela1[[#This Row],[TRADE]]), Tabela1[SAQUE]) + SUMPRODUCT(N(Tabela1[TRADE] &lt; Tabela1[[#This Row],[TRADE]]), Tabela1[REINVESTIR])</f>
        <v>1851.8999999999999</v>
      </c>
      <c r="J7" s="6">
        <f>TRUNC(Tabela1[APLICAÇÃO]  * Plan2!$A$3, 2)</f>
        <v>0.68</v>
      </c>
      <c r="K7" s="6">
        <f>TRUNC(Tabela1[APLICAÇÃO]  * Plan2!$B$3, 2)</f>
        <v>0.5</v>
      </c>
      <c r="L7" s="6">
        <f>TRUNC(Tabela1[APLICAÇÃO]  * Plan2!$C$3, 2)</f>
        <v>1.28</v>
      </c>
      <c r="M7" s="6">
        <f>TRUNC(Plan2!$G$3  * Plan2!$H$3, 2)</f>
        <v>0.28999999999999998</v>
      </c>
      <c r="N7" s="6">
        <f>ROUND(Plan2!$G$3 * Plan2!$I$3, 2)</f>
        <v>0.57999999999999996</v>
      </c>
      <c r="O7" s="6">
        <f>Plan2!$G$3 + SUM(Tabela1[[#This Row],[EMOL CP]]:Tabela1[[#This Row],[OUTRAS CP]])</f>
        <v>18.23</v>
      </c>
      <c r="P7" s="6">
        <f>TRUNC(Tabela1[APLICAÇÃO] * 2  * Plan2!$A$3, 2)</f>
        <v>1.37</v>
      </c>
      <c r="Q7" s="6">
        <f>TRUNC(Tabela1[APLICAÇÃO] * 2  * Plan2!$B$3, 2)</f>
        <v>1.01</v>
      </c>
      <c r="R7" s="6">
        <f>TRUNC(Tabela1[APLICAÇÃO] * 2  * Plan2!$C$3, 2)</f>
        <v>2.57</v>
      </c>
      <c r="S7" s="6">
        <f>TRUNC(Plan2!$G$3  * Plan2!$H$3, 2)</f>
        <v>0.28999999999999998</v>
      </c>
      <c r="T7" s="6">
        <f>ROUND(Plan2!$G$3 * Plan2!$I$3, 2)</f>
        <v>0.57999999999999996</v>
      </c>
      <c r="U7" s="6">
        <f>Plan2!$G$3 + SUM(Tabela1[[#This Row],[EMOL VD]]:Tabela1[[#This Row],[OUTRAS VD]])</f>
        <v>20.72</v>
      </c>
      <c r="V7" s="6">
        <f>(((Tabela1[APLICAÇÃO] * 2) - Tabela1[TAXA VD]) - (Tabela1[APLICAÇÃO] + Tabela1[TAXA CP])) * 0.85</f>
        <v>1541.0074999999999</v>
      </c>
      <c r="W7" s="14">
        <f>Tabela1[APLICAÇÃO] - (ROUND(Tabela1[RENDA FIXA] * 0.1,2))</f>
        <v>1555.1399999999999</v>
      </c>
      <c r="X7" s="4">
        <f>Tabela1[[#This Row],[PERDA MAX]]/Tabela1[[#This Row],[APLICAÇÃO]]</f>
        <v>0.83975376640207355</v>
      </c>
      <c r="Y7" s="15">
        <f>IF(Tabela1[LUCRO] &lt; (Tabela1[RENDA FIXA]/2), 0.5, 0.8)</f>
        <v>0.8</v>
      </c>
      <c r="Z7" s="6">
        <f>IF(Tabela1[LUCRO] &lt; 0, 0, ROUND(Tabela1[LUCRO]*Tabela1[NO BOLSO], 2))</f>
        <v>1232.81</v>
      </c>
      <c r="AA7" s="6">
        <f>Tabela1[LUCRO]-Tabela1[PROTEÇÃO MÊS]</f>
        <v>308.20000000000005</v>
      </c>
      <c r="AB7" s="6">
        <f>Tabela1[RENDA FIXA] + Tabela1[PROTEÇÃO MÊS] - Tabela1[APORTE RF]</f>
        <v>4200.43</v>
      </c>
      <c r="AC7" s="6">
        <f>Tabela1[TOT RF] + Tabela1[REINVESTIR] + Tabela1[APLICAÇÃO]</f>
        <v>6360.53</v>
      </c>
    </row>
    <row r="8" spans="1:29" x14ac:dyDescent="0.2">
      <c r="A8" s="1">
        <v>7</v>
      </c>
      <c r="B8" s="5">
        <v>41183</v>
      </c>
      <c r="C8" s="3">
        <v>4200.43</v>
      </c>
      <c r="D8" s="3">
        <v>0</v>
      </c>
      <c r="E8" s="3">
        <v>0</v>
      </c>
      <c r="F8" s="3">
        <v>1922.14</v>
      </c>
      <c r="G8" s="6">
        <f>142</f>
        <v>142</v>
      </c>
      <c r="H8" s="6">
        <f>SUMPRODUCT(N(Tabela1[TRADE] &lt;= Tabela1[[#This Row],[TRADE]]), Tabela1[APORTE]) + SUMPRODUCT(N(Tabela1[TRADE] &lt;= Tabela1[[#This Row],[TRADE]]), Tabela1[APORTE RF])</f>
        <v>1252</v>
      </c>
      <c r="I8" s="6">
        <f>Tabela1[MONTANTE] - SUMPRODUCT(N(Tabela1[TRADE] &lt;= Tabela1[[#This Row],[TRADE]]), Tabela1[SAQUE]) + SUMPRODUCT(N(Tabela1[TRADE] &lt; Tabela1[[#This Row],[TRADE]]), Tabela1[REINVESTIR])</f>
        <v>2302.1</v>
      </c>
      <c r="J8" s="6">
        <f>TRUNC(Tabela1[APLICAÇÃO]  * Plan2!$A$3, 2)</f>
        <v>0.85</v>
      </c>
      <c r="K8" s="6">
        <f>TRUNC(Tabela1[APLICAÇÃO]  * Plan2!$B$3, 2)</f>
        <v>0.63</v>
      </c>
      <c r="L8" s="6">
        <f>TRUNC(Tabela1[APLICAÇÃO]  * Plan2!$C$3, 2)</f>
        <v>1.59</v>
      </c>
      <c r="M8" s="6">
        <f>TRUNC(Plan2!$G$3  * Plan2!$H$3, 2)</f>
        <v>0.28999999999999998</v>
      </c>
      <c r="N8" s="6">
        <f>ROUND(Plan2!$G$3 * Plan2!$I$3, 2)</f>
        <v>0.57999999999999996</v>
      </c>
      <c r="O8" s="6">
        <f>Plan2!$G$3 + SUM(Tabela1[[#This Row],[EMOL CP]]:Tabela1[[#This Row],[OUTRAS CP]])</f>
        <v>18.84</v>
      </c>
      <c r="P8" s="6">
        <f>TRUNC(Tabela1[APLICAÇÃO] * 2  * Plan2!$A$3, 2)</f>
        <v>1.7</v>
      </c>
      <c r="Q8" s="6">
        <f>TRUNC(Tabela1[APLICAÇÃO] * 2  * Plan2!$B$3, 2)</f>
        <v>1.26</v>
      </c>
      <c r="R8" s="6">
        <f>TRUNC(Tabela1[APLICAÇÃO] * 2  * Plan2!$C$3, 2)</f>
        <v>3.19</v>
      </c>
      <c r="S8" s="6">
        <f>TRUNC(Plan2!$G$3  * Plan2!$H$3, 2)</f>
        <v>0.28999999999999998</v>
      </c>
      <c r="T8" s="6">
        <f>ROUND(Plan2!$G$3 * Plan2!$I$3, 2)</f>
        <v>0.57999999999999996</v>
      </c>
      <c r="U8" s="6">
        <f>Plan2!$G$3 + SUM(Tabela1[[#This Row],[EMOL VD]]:Tabela1[[#This Row],[OUTRAS VD]])</f>
        <v>21.92</v>
      </c>
      <c r="V8" s="6">
        <f>(((Tabela1[APLICAÇÃO] * 2) - Tabela1[TAXA VD]) - (Tabela1[APLICAÇÃO] + Tabela1[TAXA CP])) * 0.85</f>
        <v>1922.1389999999997</v>
      </c>
      <c r="W8" s="14">
        <f>Tabela1[APLICAÇÃO] - (ROUND(Tabela1[RENDA FIXA] * 0.1,2))</f>
        <v>1882.06</v>
      </c>
      <c r="X8" s="4">
        <f>Tabela1[[#This Row],[PERDA MAX]]/Tabela1[[#This Row],[APLICAÇÃO]]</f>
        <v>0.81754050649407062</v>
      </c>
      <c r="Y8" s="15">
        <f>IF(Tabela1[LUCRO] &lt; (Tabela1[RENDA FIXA]/2), 0.5, 0.8)</f>
        <v>0.5</v>
      </c>
      <c r="Z8" s="6">
        <f>IF(Tabela1[LUCRO] &lt; 0, 0, ROUND(Tabela1[LUCRO]*Tabela1[NO BOLSO], 2))</f>
        <v>961.07</v>
      </c>
      <c r="AA8" s="6">
        <f>Tabela1[LUCRO]-Tabela1[PROTEÇÃO MÊS]</f>
        <v>961.07</v>
      </c>
      <c r="AB8" s="6">
        <f>Tabela1[RENDA FIXA] + Tabela1[PROTEÇÃO MÊS] - Tabela1[APORTE RF]</f>
        <v>5161.5</v>
      </c>
      <c r="AC8" s="6">
        <f>Tabela1[TOT RF] + Tabela1[REINVESTIR] + Tabela1[APLICAÇÃO]</f>
        <v>8424.67</v>
      </c>
    </row>
    <row r="9" spans="1:29" x14ac:dyDescent="0.2">
      <c r="A9" s="1">
        <v>8</v>
      </c>
      <c r="B9" s="5">
        <v>41214</v>
      </c>
      <c r="C9" s="3">
        <v>5161.5</v>
      </c>
      <c r="D9" s="3">
        <v>0</v>
      </c>
      <c r="E9" s="3">
        <v>0</v>
      </c>
      <c r="F9" s="3">
        <v>2855.98</v>
      </c>
      <c r="G9" s="6">
        <f>142</f>
        <v>142</v>
      </c>
      <c r="H9" s="6">
        <f>SUMPRODUCT(N(Tabela1[TRADE] &lt;= Tabela1[[#This Row],[TRADE]]), Tabela1[APORTE]) + SUMPRODUCT(N(Tabela1[TRADE] &lt;= Tabela1[[#This Row],[TRADE]]), Tabela1[APORTE RF])</f>
        <v>1394</v>
      </c>
      <c r="I9" s="6">
        <f>Tabela1[MONTANTE] - SUMPRODUCT(N(Tabela1[TRADE] &lt;= Tabela1[[#This Row],[TRADE]]), Tabela1[SAQUE]) + SUMPRODUCT(N(Tabela1[TRADE] &lt; Tabela1[[#This Row],[TRADE]]), Tabela1[REINVESTIR])</f>
        <v>3405.17</v>
      </c>
      <c r="J9" s="6">
        <f>TRUNC(Tabela1[APLICAÇÃO]  * Plan2!$A$3, 2)</f>
        <v>1.25</v>
      </c>
      <c r="K9" s="6">
        <f>TRUNC(Tabela1[APLICAÇÃO]  * Plan2!$B$3, 2)</f>
        <v>0.93</v>
      </c>
      <c r="L9" s="6">
        <f>TRUNC(Tabela1[APLICAÇÃO]  * Plan2!$C$3, 2)</f>
        <v>2.36</v>
      </c>
      <c r="M9" s="6">
        <f>TRUNC(Plan2!$G$3  * Plan2!$H$3, 2)</f>
        <v>0.28999999999999998</v>
      </c>
      <c r="N9" s="6">
        <f>ROUND(Plan2!$G$3 * Plan2!$I$3, 2)</f>
        <v>0.57999999999999996</v>
      </c>
      <c r="O9" s="6">
        <f>Plan2!$G$3 + SUM(Tabela1[[#This Row],[EMOL CP]]:Tabela1[[#This Row],[OUTRAS CP]])</f>
        <v>20.310000000000002</v>
      </c>
      <c r="P9" s="6">
        <f>TRUNC(Tabela1[APLICAÇÃO] * 2  * Plan2!$A$3, 2)</f>
        <v>2.5099999999999998</v>
      </c>
      <c r="Q9" s="6">
        <f>TRUNC(Tabela1[APLICAÇÃO] * 2  * Plan2!$B$3, 2)</f>
        <v>1.87</v>
      </c>
      <c r="R9" s="6">
        <f>TRUNC(Tabela1[APLICAÇÃO] * 2  * Plan2!$C$3, 2)</f>
        <v>4.7300000000000004</v>
      </c>
      <c r="S9" s="6">
        <f>TRUNC(Plan2!$G$3  * Plan2!$H$3, 2)</f>
        <v>0.28999999999999998</v>
      </c>
      <c r="T9" s="6">
        <f>ROUND(Plan2!$G$3 * Plan2!$I$3, 2)</f>
        <v>0.57999999999999996</v>
      </c>
      <c r="U9" s="6">
        <f>Plan2!$G$3 + SUM(Tabela1[[#This Row],[EMOL VD]]:Tabela1[[#This Row],[OUTRAS VD]])</f>
        <v>24.88</v>
      </c>
      <c r="V9" s="6">
        <f>(((Tabela1[APLICAÇÃO] * 2) - Tabela1[TAXA VD]) - (Tabela1[APLICAÇÃO] + Tabela1[TAXA CP])) * 0.85</f>
        <v>2855.9829999999997</v>
      </c>
      <c r="W9" s="14">
        <f>Tabela1[APLICAÇÃO] - (ROUND(Tabela1[RENDA FIXA] * 0.1,2))</f>
        <v>2889.02</v>
      </c>
      <c r="X9" s="4">
        <f>Tabela1[[#This Row],[PERDA MAX]]/Tabela1[[#This Row],[APLICAÇÃO]]</f>
        <v>0.84842166470396485</v>
      </c>
      <c r="Y9" s="15">
        <f>IF(Tabela1[LUCRO] &lt; (Tabela1[RENDA FIXA]/2), 0.5, 0.8)</f>
        <v>0.8</v>
      </c>
      <c r="Z9" s="6">
        <f>IF(Tabela1[LUCRO] &lt; 0, 0, ROUND(Tabela1[LUCRO]*Tabela1[NO BOLSO], 2))</f>
        <v>2284.7800000000002</v>
      </c>
      <c r="AA9" s="6">
        <f>Tabela1[LUCRO]-Tabela1[PROTEÇÃO MÊS]</f>
        <v>571.19999999999982</v>
      </c>
      <c r="AB9" s="6">
        <f>Tabela1[RENDA FIXA] + Tabela1[PROTEÇÃO MÊS] - Tabela1[APORTE RF]</f>
        <v>7446.2800000000007</v>
      </c>
      <c r="AC9" s="6">
        <f>Tabela1[TOT RF] + Tabela1[REINVESTIR] + Tabela1[APLICAÇÃO]</f>
        <v>11422.650000000001</v>
      </c>
    </row>
    <row r="10" spans="1:29" x14ac:dyDescent="0.2">
      <c r="A10" s="1">
        <v>9</v>
      </c>
      <c r="B10" s="5">
        <v>41244</v>
      </c>
      <c r="C10" s="3">
        <v>7446.28</v>
      </c>
      <c r="D10" s="3">
        <v>0</v>
      </c>
      <c r="E10" s="3">
        <v>0</v>
      </c>
      <c r="F10" s="3">
        <v>3459.76</v>
      </c>
      <c r="G10" s="6">
        <f>142</f>
        <v>142</v>
      </c>
      <c r="H10" s="6">
        <f>SUMPRODUCT(N(Tabela1[TRADE] &lt;= Tabela1[[#This Row],[TRADE]]), Tabela1[APORTE]) + SUMPRODUCT(N(Tabela1[TRADE] &lt;= Tabela1[[#This Row],[TRADE]]), Tabela1[APORTE RF])</f>
        <v>1536</v>
      </c>
      <c r="I10" s="6">
        <f>Tabela1[MONTANTE] - SUMPRODUCT(N(Tabela1[TRADE] &lt;= Tabela1[[#This Row],[TRADE]]), Tabela1[SAQUE]) + SUMPRODUCT(N(Tabela1[TRADE] &lt; Tabela1[[#This Row],[TRADE]]), Tabela1[REINVESTIR])</f>
        <v>4118.37</v>
      </c>
      <c r="J10" s="6">
        <f>TRUNC(Tabela1[APLICAÇÃO]  * Plan2!$A$3, 2)</f>
        <v>1.52</v>
      </c>
      <c r="K10" s="6">
        <f>TRUNC(Tabela1[APLICAÇÃO]  * Plan2!$B$3, 2)</f>
        <v>1.1299999999999999</v>
      </c>
      <c r="L10" s="6">
        <f>TRUNC(Tabela1[APLICAÇÃO]  * Plan2!$C$3, 2)</f>
        <v>2.86</v>
      </c>
      <c r="M10" s="6">
        <f>TRUNC(Plan2!$G$3  * Plan2!$H$3, 2)</f>
        <v>0.28999999999999998</v>
      </c>
      <c r="N10" s="6">
        <f>ROUND(Plan2!$G$3 * Plan2!$I$3, 2)</f>
        <v>0.57999999999999996</v>
      </c>
      <c r="O10" s="6">
        <f>Plan2!$G$3 + SUM(Tabela1[[#This Row],[EMOL CP]]:Tabela1[[#This Row],[OUTRAS CP]])</f>
        <v>21.28</v>
      </c>
      <c r="P10" s="6">
        <f>TRUNC(Tabela1[APLICAÇÃO] * 2  * Plan2!$A$3, 2)</f>
        <v>3.04</v>
      </c>
      <c r="Q10" s="6">
        <f>TRUNC(Tabela1[APLICAÇÃO] * 2  * Plan2!$B$3, 2)</f>
        <v>2.2599999999999998</v>
      </c>
      <c r="R10" s="6">
        <f>TRUNC(Tabela1[APLICAÇÃO] * 2  * Plan2!$C$3, 2)</f>
        <v>5.72</v>
      </c>
      <c r="S10" s="6">
        <f>TRUNC(Plan2!$G$3  * Plan2!$H$3, 2)</f>
        <v>0.28999999999999998</v>
      </c>
      <c r="T10" s="6">
        <f>ROUND(Plan2!$G$3 * Plan2!$I$3, 2)</f>
        <v>0.57999999999999996</v>
      </c>
      <c r="U10" s="6">
        <f>Plan2!$G$3 + SUM(Tabela1[[#This Row],[EMOL VD]]:Tabela1[[#This Row],[OUTRAS VD]])</f>
        <v>26.79</v>
      </c>
      <c r="V10" s="6">
        <f>(((Tabela1[APLICAÇÃO] * 2) - Tabela1[TAXA VD]) - (Tabela1[APLICAÇÃO] + Tabela1[TAXA CP])) * 0.85</f>
        <v>3459.7549999999992</v>
      </c>
      <c r="W10" s="14">
        <f>Tabela1[APLICAÇÃO] - (ROUND(Tabela1[RENDA FIXA] * 0.1,2))</f>
        <v>3373.74</v>
      </c>
      <c r="X10" s="4">
        <f>Tabela1[[#This Row],[PERDA MAX]]/Tabela1[[#This Row],[APLICAÇÃO]]</f>
        <v>0.81919303025225998</v>
      </c>
      <c r="Y10" s="15">
        <f>IF(Tabela1[LUCRO] &lt; (Tabela1[RENDA FIXA]/2), 0.5, 0.8)</f>
        <v>0.5</v>
      </c>
      <c r="Z10" s="6">
        <f>IF(Tabela1[LUCRO] &lt; 0, 0, ROUND(Tabela1[LUCRO]*Tabela1[NO BOLSO], 2))</f>
        <v>1729.88</v>
      </c>
      <c r="AA10" s="6">
        <f>Tabela1[LUCRO]-Tabela1[PROTEÇÃO MÊS]</f>
        <v>1729.88</v>
      </c>
      <c r="AB10" s="6">
        <f>Tabela1[RENDA FIXA] + Tabela1[PROTEÇÃO MÊS] - Tabela1[APORTE RF]</f>
        <v>9176.16</v>
      </c>
      <c r="AC10" s="6">
        <f>Tabela1[TOT RF] + Tabela1[REINVESTIR] + Tabela1[APLICAÇÃO]</f>
        <v>15024.41</v>
      </c>
    </row>
    <row r="11" spans="1:29" x14ac:dyDescent="0.2">
      <c r="A11" s="1">
        <v>10</v>
      </c>
      <c r="B11" s="5">
        <v>41275</v>
      </c>
      <c r="C11" s="3">
        <v>9176.16</v>
      </c>
      <c r="D11" s="3"/>
      <c r="E11" s="3"/>
      <c r="F11" s="3">
        <v>5044.46</v>
      </c>
      <c r="G11" s="6">
        <f>142</f>
        <v>142</v>
      </c>
      <c r="H11" s="6">
        <f>SUMPRODUCT(N(Tabela1[TRADE] &lt;= Tabela1[[#This Row],[TRADE]]), Tabela1[APORTE]) + SUMPRODUCT(N(Tabela1[TRADE] &lt;= Tabela1[[#This Row],[TRADE]]), Tabela1[APORTE RF])</f>
        <v>1678</v>
      </c>
      <c r="I11" s="6">
        <f>Tabela1[MONTANTE] - SUMPRODUCT(N(Tabela1[TRADE] &lt;= Tabela1[[#This Row],[TRADE]]), Tabela1[SAQUE]) + SUMPRODUCT(N(Tabela1[TRADE] &lt; Tabela1[[#This Row],[TRADE]]), Tabela1[REINVESTIR])</f>
        <v>5990.25</v>
      </c>
      <c r="J11" s="6">
        <f>TRUNC(Tabela1[APLICAÇÃO]  * Plan2!$A$3, 2)</f>
        <v>2.21</v>
      </c>
      <c r="K11" s="6">
        <f>TRUNC(Tabela1[APLICAÇÃO]  * Plan2!$B$3, 2)</f>
        <v>1.64</v>
      </c>
      <c r="L11" s="6">
        <f>TRUNC(Tabela1[APLICAÇÃO]  * Plan2!$C$3, 2)</f>
        <v>4.16</v>
      </c>
      <c r="M11" s="6">
        <f>TRUNC(Plan2!$G$3  * Plan2!$H$3, 2)</f>
        <v>0.28999999999999998</v>
      </c>
      <c r="N11" s="6">
        <f>ROUND(Plan2!$G$3 * Plan2!$I$3, 2)</f>
        <v>0.57999999999999996</v>
      </c>
      <c r="O11" s="6">
        <f>Plan2!$G$3 + SUM(Tabela1[[#This Row],[EMOL CP]]:Tabela1[[#This Row],[OUTRAS CP]])</f>
        <v>23.78</v>
      </c>
      <c r="P11" s="6">
        <f>TRUNC(Tabela1[APLICAÇÃO] * 2  * Plan2!$A$3, 2)</f>
        <v>4.43</v>
      </c>
      <c r="Q11" s="6">
        <f>TRUNC(Tabela1[APLICAÇÃO] * 2  * Plan2!$B$3, 2)</f>
        <v>3.29</v>
      </c>
      <c r="R11" s="6">
        <f>TRUNC(Tabela1[APLICAÇÃO] * 2  * Plan2!$C$3, 2)</f>
        <v>8.32</v>
      </c>
      <c r="S11" s="6">
        <f>TRUNC(Plan2!$G$3  * Plan2!$H$3, 2)</f>
        <v>0.28999999999999998</v>
      </c>
      <c r="T11" s="6">
        <f>ROUND(Plan2!$G$3 * Plan2!$I$3, 2)</f>
        <v>0.57999999999999996</v>
      </c>
      <c r="U11" s="6">
        <f>Plan2!$G$3 + SUM(Tabela1[[#This Row],[EMOL VD]]:Tabela1[[#This Row],[OUTRAS VD]])</f>
        <v>31.809999999999995</v>
      </c>
      <c r="V11" s="6">
        <f>(((Tabela1[APLICAÇÃO] * 2) - Tabela1[TAXA VD]) - (Tabela1[APLICAÇÃO] + Tabela1[TAXA CP])) * 0.85</f>
        <v>5044.4610000000002</v>
      </c>
      <c r="W11" s="14">
        <f>Tabela1[APLICAÇÃO] - (ROUND(Tabela1[RENDA FIXA] * 0.1,2))</f>
        <v>5072.63</v>
      </c>
      <c r="X11" s="4">
        <f>Tabela1[[#This Row],[PERDA MAX]]/Tabela1[[#This Row],[APLICAÇÃO]]</f>
        <v>0.84681440674429287</v>
      </c>
      <c r="Y11" s="15">
        <f>IF(Tabela1[LUCRO] &lt; (Tabela1[RENDA FIXA]/2), 0.5, 0.8)</f>
        <v>0.8</v>
      </c>
      <c r="Z11" s="6">
        <f>IF(Tabela1[LUCRO] &lt; 0, 0, ROUND(Tabela1[LUCRO]*Tabela1[NO BOLSO], 2))</f>
        <v>4035.57</v>
      </c>
      <c r="AA11" s="6">
        <f>Tabela1[LUCRO]-Tabela1[PROTEÇÃO MÊS]</f>
        <v>1008.8899999999999</v>
      </c>
      <c r="AB11" s="6">
        <f>Tabela1[RENDA FIXA] + Tabela1[PROTEÇÃO MÊS] - Tabela1[APORTE RF]</f>
        <v>13211.73</v>
      </c>
      <c r="AC11" s="6">
        <f>Tabela1[TOT RF] + Tabela1[REINVESTIR] + Tabela1[APLICAÇÃO]</f>
        <v>20210.87</v>
      </c>
    </row>
    <row r="12" spans="1:29" x14ac:dyDescent="0.2">
      <c r="A12" s="1">
        <v>11</v>
      </c>
      <c r="B12" s="5">
        <v>41306</v>
      </c>
      <c r="C12" s="3">
        <v>13211.73</v>
      </c>
      <c r="D12" s="3"/>
      <c r="E12" s="3"/>
      <c r="F12" s="3">
        <v>6018.78</v>
      </c>
      <c r="G12" s="6">
        <f>142</f>
        <v>142</v>
      </c>
      <c r="H12" s="6">
        <f>SUMPRODUCT(N(Tabela1[TRADE] &lt;= Tabela1[[#This Row],[TRADE]]), Tabela1[APORTE]) + SUMPRODUCT(N(Tabela1[TRADE] &lt;= Tabela1[[#This Row],[TRADE]]), Tabela1[APORTE RF])</f>
        <v>1820</v>
      </c>
      <c r="I12" s="6">
        <f>Tabela1[MONTANTE] - SUMPRODUCT(N(Tabela1[TRADE] &lt;= Tabela1[[#This Row],[TRADE]]), Tabela1[SAQUE]) + SUMPRODUCT(N(Tabela1[TRADE] &lt; Tabela1[[#This Row],[TRADE]]), Tabela1[REINVESTIR])</f>
        <v>7141.1399999999994</v>
      </c>
      <c r="J12" s="6">
        <f>TRUNC(Tabela1[APLICAÇÃO]  * Plan2!$A$3, 2)</f>
        <v>2.64</v>
      </c>
      <c r="K12" s="6">
        <f>TRUNC(Tabela1[APLICAÇÃO]  * Plan2!$B$3, 2)</f>
        <v>1.96</v>
      </c>
      <c r="L12" s="6">
        <f>TRUNC(Tabela1[APLICAÇÃO]  * Plan2!$C$3, 2)</f>
        <v>4.96</v>
      </c>
      <c r="M12" s="6">
        <f>TRUNC(Plan2!$G$3  * Plan2!$H$3, 2)</f>
        <v>0.28999999999999998</v>
      </c>
      <c r="N12" s="6">
        <f>ROUND(Plan2!$G$3 * Plan2!$I$3, 2)</f>
        <v>0.57999999999999996</v>
      </c>
      <c r="O12" s="6">
        <f>Plan2!$G$3 + SUM(Tabela1[[#This Row],[EMOL CP]]:Tabela1[[#This Row],[OUTRAS CP]])</f>
        <v>25.33</v>
      </c>
      <c r="P12" s="6">
        <f>TRUNC(Tabela1[APLICAÇÃO] * 2  * Plan2!$A$3, 2)</f>
        <v>5.28</v>
      </c>
      <c r="Q12" s="6">
        <f>TRUNC(Tabela1[APLICAÇÃO] * 2  * Plan2!$B$3, 2)</f>
        <v>3.92</v>
      </c>
      <c r="R12" s="6">
        <f>TRUNC(Tabela1[APLICAÇÃO] * 2  * Plan2!$C$3, 2)</f>
        <v>9.92</v>
      </c>
      <c r="S12" s="6">
        <f>TRUNC(Plan2!$G$3  * Plan2!$H$3, 2)</f>
        <v>0.28999999999999998</v>
      </c>
      <c r="T12" s="6">
        <f>ROUND(Plan2!$G$3 * Plan2!$I$3, 2)</f>
        <v>0.57999999999999996</v>
      </c>
      <c r="U12" s="6">
        <f>Plan2!$G$3 + SUM(Tabela1[[#This Row],[EMOL VD]]:Tabela1[[#This Row],[OUTRAS VD]])</f>
        <v>34.889999999999993</v>
      </c>
      <c r="V12" s="6">
        <f>(((Tabela1[APLICAÇÃO] * 2) - Tabela1[TAXA VD]) - (Tabela1[APLICAÇÃO] + Tabela1[TAXA CP])) * 0.85</f>
        <v>6018.7820000000002</v>
      </c>
      <c r="W12" s="14">
        <f>Tabela1[APLICAÇÃO] - (ROUND(Tabela1[RENDA FIXA] * 0.1,2))</f>
        <v>5819.9699999999993</v>
      </c>
      <c r="X12" s="4">
        <f>Tabela1[[#This Row],[PERDA MAX]]/Tabela1[[#This Row],[APLICAÇÃO]]</f>
        <v>0.81499172401045206</v>
      </c>
      <c r="Y12" s="15">
        <f>IF(Tabela1[LUCRO] &lt; (Tabela1[RENDA FIXA]/2), 0.5, 0.8)</f>
        <v>0.5</v>
      </c>
      <c r="Z12" s="6">
        <f>IF(Tabela1[LUCRO] &lt; 0, 0, ROUND(Tabela1[LUCRO]*Tabela1[NO BOLSO], 2))</f>
        <v>3009.39</v>
      </c>
      <c r="AA12" s="6">
        <f>Tabela1[LUCRO]-Tabela1[PROTEÇÃO MÊS]</f>
        <v>3009.39</v>
      </c>
      <c r="AB12" s="6">
        <f>Tabela1[RENDA FIXA] + Tabela1[PROTEÇÃO MÊS] - Tabela1[APORTE RF]</f>
        <v>16221.119999999999</v>
      </c>
      <c r="AC12" s="6">
        <f>Tabela1[TOT RF] + Tabela1[REINVESTIR] + Tabela1[APLICAÇÃO]</f>
        <v>26371.649999999998</v>
      </c>
    </row>
    <row r="13" spans="1:29" x14ac:dyDescent="0.2">
      <c r="A13" s="1">
        <v>12</v>
      </c>
      <c r="B13" s="5">
        <v>41334</v>
      </c>
      <c r="C13" s="3">
        <v>16221.12</v>
      </c>
      <c r="D13" s="3"/>
      <c r="E13" s="3"/>
      <c r="F13" s="3">
        <v>8686.69</v>
      </c>
      <c r="G13" s="6">
        <f>142</f>
        <v>142</v>
      </c>
      <c r="H13" s="6">
        <f>SUMPRODUCT(N(Tabela1[TRADE] &lt;= Tabela1[[#This Row],[TRADE]]), Tabela1[APORTE]) + SUMPRODUCT(N(Tabela1[TRADE] &lt;= Tabela1[[#This Row],[TRADE]]), Tabela1[APORTE RF])</f>
        <v>1962</v>
      </c>
      <c r="I13" s="6">
        <f>Tabela1[MONTANTE] - SUMPRODUCT(N(Tabela1[TRADE] &lt;= Tabela1[[#This Row],[TRADE]]), Tabela1[SAQUE]) + SUMPRODUCT(N(Tabela1[TRADE] &lt; Tabela1[[#This Row],[TRADE]]), Tabela1[REINVESTIR])</f>
        <v>10292.529999999999</v>
      </c>
      <c r="J13" s="6">
        <f>TRUNC(Tabela1[APLICAÇÃO]  * Plan2!$A$3, 2)</f>
        <v>3.8</v>
      </c>
      <c r="K13" s="6">
        <f>TRUNC(Tabela1[APLICAÇÃO]  * Plan2!$B$3, 2)</f>
        <v>2.83</v>
      </c>
      <c r="L13" s="6">
        <f>TRUNC(Tabela1[APLICAÇÃO]  * Plan2!$C$3, 2)</f>
        <v>7.15</v>
      </c>
      <c r="M13" s="6">
        <f>TRUNC(Plan2!$G$3  * Plan2!$H$3, 2)</f>
        <v>0.28999999999999998</v>
      </c>
      <c r="N13" s="6">
        <f>ROUND(Plan2!$G$3 * Plan2!$I$3, 2)</f>
        <v>0.57999999999999996</v>
      </c>
      <c r="O13" s="6">
        <f>Plan2!$G$3 + SUM(Tabela1[[#This Row],[EMOL CP]]:Tabela1[[#This Row],[OUTRAS CP]])</f>
        <v>29.55</v>
      </c>
      <c r="P13" s="6">
        <f>TRUNC(Tabela1[APLICAÇÃO] * 2  * Plan2!$A$3, 2)</f>
        <v>7.61</v>
      </c>
      <c r="Q13" s="6">
        <f>TRUNC(Tabela1[APLICAÇÃO] * 2  * Plan2!$B$3, 2)</f>
        <v>5.66</v>
      </c>
      <c r="R13" s="6">
        <f>TRUNC(Tabela1[APLICAÇÃO] * 2  * Plan2!$C$3, 2)</f>
        <v>14.3</v>
      </c>
      <c r="S13" s="6">
        <f>TRUNC(Plan2!$G$3  * Plan2!$H$3, 2)</f>
        <v>0.28999999999999998</v>
      </c>
      <c r="T13" s="6">
        <f>ROUND(Plan2!$G$3 * Plan2!$I$3, 2)</f>
        <v>0.57999999999999996</v>
      </c>
      <c r="U13" s="6">
        <f>Plan2!$G$3 + SUM(Tabela1[[#This Row],[EMOL VD]]:Tabela1[[#This Row],[OUTRAS VD]])</f>
        <v>43.339999999999996</v>
      </c>
      <c r="V13" s="6">
        <f>(((Tabela1[APLICAÇÃO] * 2) - Tabela1[TAXA VD]) - (Tabela1[APLICAÇÃO] + Tabela1[TAXA CP])) * 0.85</f>
        <v>8686.6939999999995</v>
      </c>
      <c r="W13" s="14">
        <f>Tabela1[APLICAÇÃO] - (ROUND(Tabela1[RENDA FIXA] * 0.1,2))</f>
        <v>8670.4199999999983</v>
      </c>
      <c r="X13" s="4">
        <f>Tabela1[[#This Row],[PERDA MAX]]/Tabela1[[#This Row],[APLICAÇÃO]]</f>
        <v>0.84239929346817544</v>
      </c>
      <c r="Y13" s="15">
        <f>IF(Tabela1[LUCRO] &lt; (Tabela1[RENDA FIXA]/2), 0.5, 0.8)</f>
        <v>0.8</v>
      </c>
      <c r="Z13" s="6">
        <f>IF(Tabela1[LUCRO] &lt; 0, 0, ROUND(Tabela1[LUCRO]*Tabela1[NO BOLSO], 2))</f>
        <v>6949.35</v>
      </c>
      <c r="AA13" s="6">
        <f>Tabela1[LUCRO]-Tabela1[PROTEÇÃO MÊS]</f>
        <v>1737.3400000000001</v>
      </c>
      <c r="AB13" s="6">
        <f>Tabela1[RENDA FIXA] + Tabela1[PROTEÇÃO MÊS] - Tabela1[APORTE RF]</f>
        <v>23170.47</v>
      </c>
      <c r="AC13" s="6">
        <f>Tabela1[TOT RF] + Tabela1[REINVESTIR] + Tabela1[APLICAÇÃO]</f>
        <v>35200.339999999997</v>
      </c>
    </row>
    <row r="14" spans="1:29" x14ac:dyDescent="0.2">
      <c r="A14" s="1">
        <v>13</v>
      </c>
      <c r="B14" s="5">
        <v>41365</v>
      </c>
      <c r="C14" s="3">
        <v>23170.47</v>
      </c>
      <c r="D14" s="3"/>
      <c r="E14" s="3"/>
      <c r="F14" s="3">
        <v>10277.719999999999</v>
      </c>
      <c r="G14" s="6">
        <f>142</f>
        <v>142</v>
      </c>
      <c r="H14" s="6">
        <f>SUMPRODUCT(N(Tabela1[TRADE] &lt;= Tabela1[[#This Row],[TRADE]]), Tabela1[APORTE]) + SUMPRODUCT(N(Tabela1[TRADE] &lt;= Tabela1[[#This Row],[TRADE]]), Tabela1[APORTE RF])</f>
        <v>2104</v>
      </c>
      <c r="I14" s="6">
        <f>Tabela1[MONTANTE] - SUMPRODUCT(N(Tabela1[TRADE] &lt;= Tabela1[[#This Row],[TRADE]]), Tabela1[SAQUE]) + SUMPRODUCT(N(Tabela1[TRADE] &lt; Tabela1[[#This Row],[TRADE]]), Tabela1[REINVESTIR])</f>
        <v>12171.869999999999</v>
      </c>
      <c r="J14" s="6">
        <f>TRUNC(Tabela1[APLICAÇÃO]  * Plan2!$A$3, 2)</f>
        <v>4.5</v>
      </c>
      <c r="K14" s="6">
        <f>TRUNC(Tabela1[APLICAÇÃO]  * Plan2!$B$3, 2)</f>
        <v>3.34</v>
      </c>
      <c r="L14" s="6">
        <f>TRUNC(Tabela1[APLICAÇÃO]  * Plan2!$C$3, 2)</f>
        <v>8.4499999999999993</v>
      </c>
      <c r="M14" s="6">
        <f>TRUNC(Plan2!$G$3  * Plan2!$H$3, 2)</f>
        <v>0.28999999999999998</v>
      </c>
      <c r="N14" s="6">
        <f>ROUND(Plan2!$G$3 * Plan2!$I$3, 2)</f>
        <v>0.57999999999999996</v>
      </c>
      <c r="O14" s="6">
        <f>Plan2!$G$3 + SUM(Tabela1[[#This Row],[EMOL CP]]:Tabela1[[#This Row],[OUTRAS CP]])</f>
        <v>32.059999999999995</v>
      </c>
      <c r="P14" s="6">
        <f>TRUNC(Tabela1[APLICAÇÃO] * 2  * Plan2!$A$3, 2)</f>
        <v>9</v>
      </c>
      <c r="Q14" s="6">
        <f>TRUNC(Tabela1[APLICAÇÃO] * 2  * Plan2!$B$3, 2)</f>
        <v>6.69</v>
      </c>
      <c r="R14" s="6">
        <f>TRUNC(Tabela1[APLICAÇÃO] * 2  * Plan2!$C$3, 2)</f>
        <v>16.91</v>
      </c>
      <c r="S14" s="6">
        <f>TRUNC(Plan2!$G$3  * Plan2!$H$3, 2)</f>
        <v>0.28999999999999998</v>
      </c>
      <c r="T14" s="6">
        <f>ROUND(Plan2!$G$3 * Plan2!$I$3, 2)</f>
        <v>0.57999999999999996</v>
      </c>
      <c r="U14" s="6">
        <f>Plan2!$G$3 + SUM(Tabela1[[#This Row],[EMOL VD]]:Tabela1[[#This Row],[OUTRAS VD]])</f>
        <v>48.37</v>
      </c>
      <c r="V14" s="6">
        <f>(((Tabela1[APLICAÇÃO] * 2) - Tabela1[TAXA VD]) - (Tabela1[APLICAÇÃO] + Tabela1[TAXA CP])) * 0.85</f>
        <v>10277.724</v>
      </c>
      <c r="W14" s="14">
        <f>Tabela1[APLICAÇÃO] - (ROUND(Tabela1[RENDA FIXA] * 0.1,2))</f>
        <v>9854.82</v>
      </c>
      <c r="X14" s="4">
        <f>Tabela1[[#This Row],[PERDA MAX]]/Tabela1[[#This Row],[APLICAÇÃO]]</f>
        <v>0.80963894619314869</v>
      </c>
      <c r="Y14" s="15">
        <f>IF(Tabela1[LUCRO] &lt; (Tabela1[RENDA FIXA]/2), 0.5, 0.8)</f>
        <v>0.5</v>
      </c>
      <c r="Z14" s="6">
        <f>IF(Tabela1[LUCRO] &lt; 0, 0, ROUND(Tabela1[LUCRO]*Tabela1[NO BOLSO], 2))</f>
        <v>5138.8599999999997</v>
      </c>
      <c r="AA14" s="6">
        <f>Tabela1[LUCRO]-Tabela1[PROTEÇÃO MÊS]</f>
        <v>5138.8599999999997</v>
      </c>
      <c r="AB14" s="6">
        <f>Tabela1[RENDA FIXA] + Tabela1[PROTEÇÃO MÊS] - Tabela1[APORTE RF]</f>
        <v>28309.33</v>
      </c>
      <c r="AC14" s="6">
        <f>Tabela1[TOT RF] + Tabela1[REINVESTIR] + Tabela1[APLICAÇÃO]</f>
        <v>45620.06</v>
      </c>
    </row>
    <row r="15" spans="1:29" x14ac:dyDescent="0.2">
      <c r="A15" s="1">
        <v>14</v>
      </c>
      <c r="B15" s="5">
        <v>41395</v>
      </c>
      <c r="C15" s="3">
        <v>28309.33</v>
      </c>
      <c r="D15" s="3"/>
      <c r="E15" s="3"/>
      <c r="F15" s="3">
        <v>14748.42</v>
      </c>
      <c r="G15" s="6">
        <f>142</f>
        <v>142</v>
      </c>
      <c r="H15" s="6">
        <f>SUMPRODUCT(N(Tabela1[TRADE] &lt;= Tabela1[[#This Row],[TRADE]]), Tabela1[APORTE]) + SUMPRODUCT(N(Tabela1[TRADE] &lt;= Tabela1[[#This Row],[TRADE]]), Tabela1[APORTE RF])</f>
        <v>2246</v>
      </c>
      <c r="I15" s="6">
        <f>Tabela1[MONTANTE] - SUMPRODUCT(N(Tabela1[TRADE] &lt;= Tabela1[[#This Row],[TRADE]]), Tabela1[SAQUE]) + SUMPRODUCT(N(Tabela1[TRADE] &lt; Tabela1[[#This Row],[TRADE]]), Tabela1[REINVESTIR])</f>
        <v>17452.73</v>
      </c>
      <c r="J15" s="6">
        <f>TRUNC(Tabela1[APLICAÇÃO]  * Plan2!$A$3, 2)</f>
        <v>6.45</v>
      </c>
      <c r="K15" s="6">
        <f>TRUNC(Tabela1[APLICAÇÃO]  * Plan2!$B$3, 2)</f>
        <v>4.79</v>
      </c>
      <c r="L15" s="6">
        <f>TRUNC(Tabela1[APLICAÇÃO]  * Plan2!$C$3, 2)</f>
        <v>12.12</v>
      </c>
      <c r="M15" s="6">
        <f>TRUNC(Plan2!$G$3  * Plan2!$H$3, 2)</f>
        <v>0.28999999999999998</v>
      </c>
      <c r="N15" s="6">
        <f>ROUND(Plan2!$G$3 * Plan2!$I$3, 2)</f>
        <v>0.57999999999999996</v>
      </c>
      <c r="O15" s="6">
        <f>Plan2!$G$3 + SUM(Tabela1[[#This Row],[EMOL CP]]:Tabela1[[#This Row],[OUTRAS CP]])</f>
        <v>39.129999999999995</v>
      </c>
      <c r="P15" s="6">
        <f>TRUNC(Tabela1[APLICAÇÃO] * 2  * Plan2!$A$3, 2)</f>
        <v>12.91</v>
      </c>
      <c r="Q15" s="6">
        <f>TRUNC(Tabela1[APLICAÇÃO] * 2  * Plan2!$B$3, 2)</f>
        <v>9.59</v>
      </c>
      <c r="R15" s="6">
        <f>TRUNC(Tabela1[APLICAÇÃO] * 2  * Plan2!$C$3, 2)</f>
        <v>24.25</v>
      </c>
      <c r="S15" s="6">
        <f>TRUNC(Plan2!$G$3  * Plan2!$H$3, 2)</f>
        <v>0.28999999999999998</v>
      </c>
      <c r="T15" s="6">
        <f>ROUND(Plan2!$G$3 * Plan2!$I$3, 2)</f>
        <v>0.57999999999999996</v>
      </c>
      <c r="U15" s="6">
        <f>Plan2!$G$3 + SUM(Tabela1[[#This Row],[EMOL VD]]:Tabela1[[#This Row],[OUTRAS VD]])</f>
        <v>62.519999999999996</v>
      </c>
      <c r="V15" s="6">
        <f>(((Tabela1[APLICAÇÃO] * 2) - Tabela1[TAXA VD]) - (Tabela1[APLICAÇÃO] + Tabela1[TAXA CP])) * 0.85</f>
        <v>14748.418000000001</v>
      </c>
      <c r="W15" s="14">
        <f>Tabela1[APLICAÇÃO] - (ROUND(Tabela1[RENDA FIXA] * 0.1,2))</f>
        <v>14621.8</v>
      </c>
      <c r="X15" s="4">
        <f>Tabela1[[#This Row],[PERDA MAX]]/Tabela1[[#This Row],[APLICAÇÃO]]</f>
        <v>0.83779443101451745</v>
      </c>
      <c r="Y15" s="15">
        <f>IF(Tabela1[LUCRO] &lt; (Tabela1[RENDA FIXA]/2), 0.5, 0.8)</f>
        <v>0.8</v>
      </c>
      <c r="Z15" s="6">
        <f>IF(Tabela1[LUCRO] &lt; 0, 0, ROUND(Tabela1[LUCRO]*Tabela1[NO BOLSO], 2))</f>
        <v>11798.74</v>
      </c>
      <c r="AA15" s="6">
        <f>Tabela1[LUCRO]-Tabela1[PROTEÇÃO MÊS]</f>
        <v>2949.6800000000003</v>
      </c>
      <c r="AB15" s="6">
        <f>Tabela1[RENDA FIXA] + Tabela1[PROTEÇÃO MÊS] - Tabela1[APORTE RF]</f>
        <v>40108.07</v>
      </c>
      <c r="AC15" s="6">
        <f>Tabela1[TOT RF] + Tabela1[REINVESTIR] + Tabela1[APLICAÇÃO]</f>
        <v>60510.479999999996</v>
      </c>
    </row>
    <row r="16" spans="1:29" x14ac:dyDescent="0.2">
      <c r="A16" s="1">
        <v>15</v>
      </c>
      <c r="B16" s="5">
        <v>41426</v>
      </c>
      <c r="C16" s="3">
        <v>40108.07</v>
      </c>
      <c r="D16" s="3"/>
      <c r="E16" s="3"/>
      <c r="F16" s="3">
        <v>17365.77</v>
      </c>
      <c r="G16" s="6">
        <f>142</f>
        <v>142</v>
      </c>
      <c r="H16" s="6">
        <f>SUMPRODUCT(N(Tabela1[TRADE] &lt;= Tabela1[[#This Row],[TRADE]]), Tabela1[APORTE]) + SUMPRODUCT(N(Tabela1[TRADE] &lt;= Tabela1[[#This Row],[TRADE]]), Tabela1[APORTE RF])</f>
        <v>2388</v>
      </c>
      <c r="I16" s="6">
        <f>Tabela1[MONTANTE] - SUMPRODUCT(N(Tabela1[TRADE] &lt;= Tabela1[[#This Row],[TRADE]]), Tabela1[SAQUE]) + SUMPRODUCT(N(Tabela1[TRADE] &lt; Tabela1[[#This Row],[TRADE]]), Tabela1[REINVESTIR])</f>
        <v>20544.41</v>
      </c>
      <c r="J16" s="6">
        <f>TRUNC(Tabela1[APLICAÇÃO]  * Plan2!$A$3, 2)</f>
        <v>7.6</v>
      </c>
      <c r="K16" s="6">
        <f>TRUNC(Tabela1[APLICAÇÃO]  * Plan2!$B$3, 2)</f>
        <v>5.64</v>
      </c>
      <c r="L16" s="6">
        <f>TRUNC(Tabela1[APLICAÇÃO]  * Plan2!$C$3, 2)</f>
        <v>14.27</v>
      </c>
      <c r="M16" s="6">
        <f>TRUNC(Plan2!$G$3  * Plan2!$H$3, 2)</f>
        <v>0.28999999999999998</v>
      </c>
      <c r="N16" s="6">
        <f>ROUND(Plan2!$G$3 * Plan2!$I$3, 2)</f>
        <v>0.57999999999999996</v>
      </c>
      <c r="O16" s="6">
        <f>Plan2!$G$3 + SUM(Tabela1[[#This Row],[EMOL CP]]:Tabela1[[#This Row],[OUTRAS CP]])</f>
        <v>43.279999999999994</v>
      </c>
      <c r="P16" s="6">
        <f>TRUNC(Tabela1[APLICAÇÃO] * 2  * Plan2!$A$3, 2)</f>
        <v>15.2</v>
      </c>
      <c r="Q16" s="6">
        <f>TRUNC(Tabela1[APLICAÇÃO] * 2  * Plan2!$B$3, 2)</f>
        <v>11.29</v>
      </c>
      <c r="R16" s="6">
        <f>TRUNC(Tabela1[APLICAÇÃO] * 2  * Plan2!$C$3, 2)</f>
        <v>28.55</v>
      </c>
      <c r="S16" s="6">
        <f>TRUNC(Plan2!$G$3  * Plan2!$H$3, 2)</f>
        <v>0.28999999999999998</v>
      </c>
      <c r="T16" s="6">
        <f>ROUND(Plan2!$G$3 * Plan2!$I$3, 2)</f>
        <v>0.57999999999999996</v>
      </c>
      <c r="U16" s="6">
        <f>Plan2!$G$3 + SUM(Tabela1[[#This Row],[EMOL VD]]:Tabela1[[#This Row],[OUTRAS VD]])</f>
        <v>70.81</v>
      </c>
      <c r="V16" s="6">
        <f>(((Tabela1[APLICAÇÃO] * 2) - Tabela1[TAXA VD]) - (Tabela1[APLICAÇÃO] + Tabela1[TAXA CP])) * 0.85</f>
        <v>17365.772000000001</v>
      </c>
      <c r="W16" s="14">
        <f>Tabela1[APLICAÇÃO] - (ROUND(Tabela1[RENDA FIXA] * 0.1,2))</f>
        <v>16533.599999999999</v>
      </c>
      <c r="X16" s="4">
        <f>Tabela1[[#This Row],[PERDA MAX]]/Tabela1[[#This Row],[APLICAÇÃO]]</f>
        <v>0.80477365862538752</v>
      </c>
      <c r="Y16" s="15">
        <f>IF(Tabela1[LUCRO] &lt; (Tabela1[RENDA FIXA]/2), 0.5, 0.8)</f>
        <v>0.5</v>
      </c>
      <c r="Z16" s="6">
        <f>IF(Tabela1[LUCRO] &lt; 0, 0, ROUND(Tabela1[LUCRO]*Tabela1[NO BOLSO], 2))</f>
        <v>8682.89</v>
      </c>
      <c r="AA16" s="6">
        <f>Tabela1[LUCRO]-Tabela1[PROTEÇÃO MÊS]</f>
        <v>8682.880000000001</v>
      </c>
      <c r="AB16" s="6">
        <f>Tabela1[RENDA FIXA] + Tabela1[PROTEÇÃO MÊS] - Tabela1[APORTE RF]</f>
        <v>48790.96</v>
      </c>
      <c r="AC16" s="6">
        <f>Tabela1[TOT RF] + Tabela1[REINVESTIR] + Tabela1[APLICAÇÃO]</f>
        <v>78018.25</v>
      </c>
    </row>
    <row r="17" spans="1:29" x14ac:dyDescent="0.2">
      <c r="A17" s="1">
        <v>16</v>
      </c>
      <c r="B17" s="5">
        <v>41456</v>
      </c>
      <c r="C17" s="3">
        <v>48790.96</v>
      </c>
      <c r="D17" s="3"/>
      <c r="E17" s="3"/>
      <c r="F17" s="3">
        <v>24836.75</v>
      </c>
      <c r="G17" s="6">
        <f>142</f>
        <v>142</v>
      </c>
      <c r="H17" s="6">
        <f>SUMPRODUCT(N(Tabela1[TRADE] &lt;= Tabela1[[#This Row],[TRADE]]), Tabela1[APORTE]) + SUMPRODUCT(N(Tabela1[TRADE] &lt;= Tabela1[[#This Row],[TRADE]]), Tabela1[APORTE RF])</f>
        <v>2530</v>
      </c>
      <c r="I17" s="6">
        <f>Tabela1[MONTANTE] - SUMPRODUCT(N(Tabela1[TRADE] &lt;= Tabela1[[#This Row],[TRADE]]), Tabela1[SAQUE]) + SUMPRODUCT(N(Tabela1[TRADE] &lt; Tabela1[[#This Row],[TRADE]]), Tabela1[REINVESTIR])</f>
        <v>29369.29</v>
      </c>
      <c r="J17" s="6">
        <f>TRUNC(Tabela1[APLICAÇÃO]  * Plan2!$A$3, 2)</f>
        <v>10.86</v>
      </c>
      <c r="K17" s="6">
        <f>TRUNC(Tabela1[APLICAÇÃO]  * Plan2!$B$3, 2)</f>
        <v>8.07</v>
      </c>
      <c r="L17" s="6">
        <f>TRUNC(Tabela1[APLICAÇÃO]  * Plan2!$C$3, 2)</f>
        <v>20.41</v>
      </c>
      <c r="M17" s="6">
        <f>TRUNC(Plan2!$G$3  * Plan2!$H$3, 2)</f>
        <v>0.28999999999999998</v>
      </c>
      <c r="N17" s="6">
        <f>ROUND(Plan2!$G$3 * Plan2!$I$3, 2)</f>
        <v>0.57999999999999996</v>
      </c>
      <c r="O17" s="6">
        <f>Plan2!$G$3 + SUM(Tabela1[[#This Row],[EMOL CP]]:Tabela1[[#This Row],[OUTRAS CP]])</f>
        <v>55.11</v>
      </c>
      <c r="P17" s="6">
        <f>TRUNC(Tabela1[APLICAÇÃO] * 2  * Plan2!$A$3, 2)</f>
        <v>21.73</v>
      </c>
      <c r="Q17" s="6">
        <f>TRUNC(Tabela1[APLICAÇÃO] * 2  * Plan2!$B$3, 2)</f>
        <v>16.149999999999999</v>
      </c>
      <c r="R17" s="6">
        <f>TRUNC(Tabela1[APLICAÇÃO] * 2  * Plan2!$C$3, 2)</f>
        <v>40.82</v>
      </c>
      <c r="S17" s="6">
        <f>TRUNC(Plan2!$G$3  * Plan2!$H$3, 2)</f>
        <v>0.28999999999999998</v>
      </c>
      <c r="T17" s="6">
        <f>ROUND(Plan2!$G$3 * Plan2!$I$3, 2)</f>
        <v>0.57999999999999996</v>
      </c>
      <c r="U17" s="6">
        <f>Plan2!$G$3 + SUM(Tabela1[[#This Row],[EMOL VD]]:Tabela1[[#This Row],[OUTRAS VD]])</f>
        <v>94.47</v>
      </c>
      <c r="V17" s="6">
        <f>(((Tabela1[APLICAÇÃO] * 2) - Tabela1[TAXA VD]) - (Tabela1[APLICAÇÃO] + Tabela1[TAXA CP])) * 0.85</f>
        <v>24836.753499999999</v>
      </c>
      <c r="W17" s="14">
        <f>Tabela1[APLICAÇÃO] - (ROUND(Tabela1[RENDA FIXA] * 0.1,2))</f>
        <v>24490.190000000002</v>
      </c>
      <c r="X17" s="4">
        <f>Tabela1[[#This Row],[PERDA MAX]]/Tabela1[[#This Row],[APLICAÇÃO]]</f>
        <v>0.83387068601249814</v>
      </c>
      <c r="Y17" s="15">
        <f>IF(Tabela1[LUCRO] &lt; (Tabela1[RENDA FIXA]/2), 0.5, 0.8)</f>
        <v>0.8</v>
      </c>
      <c r="Z17" s="6">
        <f>IF(Tabela1[LUCRO] &lt; 0, 0, ROUND(Tabela1[LUCRO]*Tabela1[NO BOLSO], 2))</f>
        <v>19869.400000000001</v>
      </c>
      <c r="AA17" s="6">
        <f>Tabela1[LUCRO]-Tabela1[PROTEÇÃO MÊS]</f>
        <v>4967.3499999999985</v>
      </c>
      <c r="AB17" s="6">
        <f>Tabela1[RENDA FIXA] + Tabela1[PROTEÇÃO MÊS] - Tabela1[APORTE RF]</f>
        <v>68660.36</v>
      </c>
      <c r="AC17" s="6">
        <f>Tabela1[TOT RF] + Tabela1[REINVESTIR] + Tabela1[APLICAÇÃO]</f>
        <v>102997</v>
      </c>
    </row>
    <row r="18" spans="1:29" x14ac:dyDescent="0.2">
      <c r="A18" s="1">
        <v>17</v>
      </c>
      <c r="B18" s="5">
        <v>41487</v>
      </c>
      <c r="C18" s="3">
        <v>68660.36</v>
      </c>
      <c r="D18" s="3"/>
      <c r="E18" s="3"/>
      <c r="F18" s="3">
        <v>29162.240000000002</v>
      </c>
      <c r="G18" s="6">
        <f>142</f>
        <v>142</v>
      </c>
      <c r="H18" s="6">
        <f>SUMPRODUCT(N(Tabela1[TRADE] &lt;= Tabela1[[#This Row],[TRADE]]), Tabela1[APORTE]) + SUMPRODUCT(N(Tabela1[TRADE] &lt;= Tabela1[[#This Row],[TRADE]]), Tabela1[APORTE RF])</f>
        <v>2672</v>
      </c>
      <c r="I18" s="6">
        <f>Tabela1[MONTANTE] - SUMPRODUCT(N(Tabela1[TRADE] &lt;= Tabela1[[#This Row],[TRADE]]), Tabela1[SAQUE]) + SUMPRODUCT(N(Tabela1[TRADE] &lt; Tabela1[[#This Row],[TRADE]]), Tabela1[REINVESTIR])</f>
        <v>34478.639999999999</v>
      </c>
      <c r="J18" s="6">
        <f>TRUNC(Tabela1[APLICAÇÃO]  * Plan2!$A$3, 2)</f>
        <v>12.75</v>
      </c>
      <c r="K18" s="6">
        <f>TRUNC(Tabela1[APLICAÇÃO]  * Plan2!$B$3, 2)</f>
        <v>9.48</v>
      </c>
      <c r="L18" s="6">
        <f>TRUNC(Tabela1[APLICAÇÃO]  * Plan2!$C$3, 2)</f>
        <v>23.96</v>
      </c>
      <c r="M18" s="6">
        <f>TRUNC(Plan2!$G$3  * Plan2!$H$3, 2)</f>
        <v>0.28999999999999998</v>
      </c>
      <c r="N18" s="6">
        <f>ROUND(Plan2!$G$3 * Plan2!$I$3, 2)</f>
        <v>0.57999999999999996</v>
      </c>
      <c r="O18" s="6">
        <f>Plan2!$G$3 + SUM(Tabela1[[#This Row],[EMOL CP]]:Tabela1[[#This Row],[OUTRAS CP]])</f>
        <v>61.959999999999994</v>
      </c>
      <c r="P18" s="6">
        <f>TRUNC(Tabela1[APLICAÇÃO] * 2  * Plan2!$A$3, 2)</f>
        <v>25.51</v>
      </c>
      <c r="Q18" s="6">
        <f>TRUNC(Tabela1[APLICAÇÃO] * 2  * Plan2!$B$3, 2)</f>
        <v>18.96</v>
      </c>
      <c r="R18" s="6">
        <f>TRUNC(Tabela1[APLICAÇÃO] * 2  * Plan2!$C$3, 2)</f>
        <v>47.92</v>
      </c>
      <c r="S18" s="6">
        <f>TRUNC(Plan2!$G$3  * Plan2!$H$3, 2)</f>
        <v>0.28999999999999998</v>
      </c>
      <c r="T18" s="6">
        <f>ROUND(Plan2!$G$3 * Plan2!$I$3, 2)</f>
        <v>0.57999999999999996</v>
      </c>
      <c r="U18" s="6">
        <f>Plan2!$G$3 + SUM(Tabela1[[#This Row],[EMOL VD]]:Tabela1[[#This Row],[OUTRAS VD]])</f>
        <v>108.16000000000001</v>
      </c>
      <c r="V18" s="6">
        <f>(((Tabela1[APLICAÇÃO] * 2) - Tabela1[TAXA VD]) - (Tabela1[APLICAÇÃO] + Tabela1[TAXA CP])) * 0.85</f>
        <v>29162.241999999995</v>
      </c>
      <c r="W18" s="14">
        <f>Tabela1[APLICAÇÃO] - (ROUND(Tabela1[RENDA FIXA] * 0.1,2))</f>
        <v>27612.6</v>
      </c>
      <c r="X18" s="4">
        <f>Tabela1[[#This Row],[PERDA MAX]]/Tabela1[[#This Row],[APLICAÇÃO]]</f>
        <v>0.80086105484439063</v>
      </c>
      <c r="Y18" s="15">
        <f>IF(Tabela1[LUCRO] &lt; (Tabela1[RENDA FIXA]/2), 0.5, 0.8)</f>
        <v>0.5</v>
      </c>
      <c r="Z18" s="6">
        <f>IF(Tabela1[LUCRO] &lt; 0, 0, ROUND(Tabela1[LUCRO]*Tabela1[NO BOLSO], 2))</f>
        <v>14581.12</v>
      </c>
      <c r="AA18" s="6">
        <f>Tabela1[LUCRO]-Tabela1[PROTEÇÃO MÊS]</f>
        <v>14581.12</v>
      </c>
      <c r="AB18" s="6">
        <f>Tabela1[RENDA FIXA] + Tabela1[PROTEÇÃO MÊS] - Tabela1[APORTE RF]</f>
        <v>83241.48</v>
      </c>
      <c r="AC18" s="6">
        <f>Tabela1[TOT RF] + Tabela1[REINVESTIR] + Tabela1[APLICAÇÃO]</f>
        <v>132301.24</v>
      </c>
    </row>
    <row r="19" spans="1:29" x14ac:dyDescent="0.2">
      <c r="A19" s="1">
        <v>18</v>
      </c>
      <c r="B19" s="5">
        <v>41518</v>
      </c>
      <c r="C19" s="3">
        <v>83241.48</v>
      </c>
      <c r="D19" s="3"/>
      <c r="E19" s="3"/>
      <c r="F19" s="3">
        <v>41626.58</v>
      </c>
      <c r="G19" s="6">
        <f>142</f>
        <v>142</v>
      </c>
      <c r="H19" s="6">
        <f>SUMPRODUCT(N(Tabela1[TRADE] &lt;= Tabela1[[#This Row],[TRADE]]), Tabela1[APORTE]) + SUMPRODUCT(N(Tabela1[TRADE] &lt;= Tabela1[[#This Row],[TRADE]]), Tabela1[APORTE RF])</f>
        <v>2814</v>
      </c>
      <c r="I19" s="6">
        <f>Tabela1[MONTANTE] - SUMPRODUCT(N(Tabela1[TRADE] &lt;= Tabela1[[#This Row],[TRADE]]), Tabela1[SAQUE]) + SUMPRODUCT(N(Tabela1[TRADE] &lt; Tabela1[[#This Row],[TRADE]]), Tabela1[REINVESTIR])</f>
        <v>49201.760000000002</v>
      </c>
      <c r="J19" s="6">
        <f>TRUNC(Tabela1[APLICAÇÃO]  * Plan2!$A$3, 2)</f>
        <v>18.2</v>
      </c>
      <c r="K19" s="6">
        <f>TRUNC(Tabela1[APLICAÇÃO]  * Plan2!$B$3, 2)</f>
        <v>13.53</v>
      </c>
      <c r="L19" s="6">
        <f>TRUNC(Tabela1[APLICAÇÃO]  * Plan2!$C$3, 2)</f>
        <v>34.19</v>
      </c>
      <c r="M19" s="6">
        <f>TRUNC(Plan2!$G$3  * Plan2!$H$3, 2)</f>
        <v>0.28999999999999998</v>
      </c>
      <c r="N19" s="6">
        <f>ROUND(Plan2!$G$3 * Plan2!$I$3, 2)</f>
        <v>0.57999999999999996</v>
      </c>
      <c r="O19" s="6">
        <f>Plan2!$G$3 + SUM(Tabela1[[#This Row],[EMOL CP]]:Tabela1[[#This Row],[OUTRAS CP]])</f>
        <v>81.69</v>
      </c>
      <c r="P19" s="6">
        <f>TRUNC(Tabela1[APLICAÇÃO] * 2  * Plan2!$A$3, 2)</f>
        <v>36.4</v>
      </c>
      <c r="Q19" s="6">
        <f>TRUNC(Tabela1[APLICAÇÃO] * 2  * Plan2!$B$3, 2)</f>
        <v>27.06</v>
      </c>
      <c r="R19" s="6">
        <f>TRUNC(Tabela1[APLICAÇÃO] * 2  * Plan2!$C$3, 2)</f>
        <v>68.39</v>
      </c>
      <c r="S19" s="6">
        <f>TRUNC(Plan2!$G$3  * Plan2!$H$3, 2)</f>
        <v>0.28999999999999998</v>
      </c>
      <c r="T19" s="6">
        <f>ROUND(Plan2!$G$3 * Plan2!$I$3, 2)</f>
        <v>0.57999999999999996</v>
      </c>
      <c r="U19" s="6">
        <f>Plan2!$G$3 + SUM(Tabela1[[#This Row],[EMOL VD]]:Tabela1[[#This Row],[OUTRAS VD]])</f>
        <v>147.62</v>
      </c>
      <c r="V19" s="6">
        <f>(((Tabela1[APLICAÇÃO] * 2) - Tabela1[TAXA VD]) - (Tabela1[APLICAÇÃO] + Tabela1[TAXA CP])) * 0.85</f>
        <v>41626.582500000004</v>
      </c>
      <c r="W19" s="14">
        <f>Tabela1[APLICAÇÃO] - (ROUND(Tabela1[RENDA FIXA] * 0.1,2))</f>
        <v>40877.61</v>
      </c>
      <c r="X19" s="4">
        <f>Tabela1[[#This Row],[PERDA MAX]]/Tabela1[[#This Row],[APLICAÇÃO]]</f>
        <v>0.83081601145975259</v>
      </c>
      <c r="Y19" s="15">
        <f>IF(Tabela1[LUCRO] &lt; (Tabela1[RENDA FIXA]/2), 0.5, 0.8)</f>
        <v>0.8</v>
      </c>
      <c r="Z19" s="6">
        <f>IF(Tabela1[LUCRO] &lt; 0, 0, ROUND(Tabela1[LUCRO]*Tabela1[NO BOLSO], 2))</f>
        <v>33301.26</v>
      </c>
      <c r="AA19" s="6">
        <f>Tabela1[LUCRO]-Tabela1[PROTEÇÃO MÊS]</f>
        <v>8325.32</v>
      </c>
      <c r="AB19" s="6">
        <f>Tabela1[RENDA FIXA] + Tabela1[PROTEÇÃO MÊS] - Tabela1[APORTE RF]</f>
        <v>116542.73999999999</v>
      </c>
      <c r="AC19" s="6">
        <f>Tabela1[TOT RF] + Tabela1[REINVESTIR] + Tabela1[APLICAÇÃO]</f>
        <v>174069.82</v>
      </c>
    </row>
    <row r="20" spans="1:29" x14ac:dyDescent="0.2">
      <c r="A20" s="1">
        <v>19</v>
      </c>
      <c r="B20" s="5">
        <v>41548</v>
      </c>
      <c r="C20" s="3">
        <v>116542.74</v>
      </c>
      <c r="D20" s="3"/>
      <c r="E20" s="3"/>
      <c r="F20" s="3">
        <v>48794.879999999997</v>
      </c>
      <c r="G20" s="6">
        <f>142</f>
        <v>142</v>
      </c>
      <c r="H20" s="6">
        <f>SUMPRODUCT(N(Tabela1[TRADE] &lt;= Tabela1[[#This Row],[TRADE]]), Tabela1[APORTE]) + SUMPRODUCT(N(Tabela1[TRADE] &lt;= Tabela1[[#This Row],[TRADE]]), Tabela1[APORTE RF])</f>
        <v>2956</v>
      </c>
      <c r="I20" s="6">
        <f>Tabela1[MONTANTE] - SUMPRODUCT(N(Tabela1[TRADE] &lt;= Tabela1[[#This Row],[TRADE]]), Tabela1[SAQUE]) + SUMPRODUCT(N(Tabela1[TRADE] &lt; Tabela1[[#This Row],[TRADE]]), Tabela1[REINVESTIR])</f>
        <v>57669.08</v>
      </c>
      <c r="J20" s="6">
        <f>TRUNC(Tabela1[APLICAÇÃO]  * Plan2!$A$3, 2)</f>
        <v>21.33</v>
      </c>
      <c r="K20" s="6">
        <f>TRUNC(Tabela1[APLICAÇÃO]  * Plan2!$B$3, 2)</f>
        <v>15.85</v>
      </c>
      <c r="L20" s="6">
        <f>TRUNC(Tabela1[APLICAÇÃO]  * Plan2!$C$3, 2)</f>
        <v>40.08</v>
      </c>
      <c r="M20" s="6">
        <f>TRUNC(Plan2!$G$3  * Plan2!$H$3, 2)</f>
        <v>0.28999999999999998</v>
      </c>
      <c r="N20" s="6">
        <f>ROUND(Plan2!$G$3 * Plan2!$I$3, 2)</f>
        <v>0.57999999999999996</v>
      </c>
      <c r="O20" s="6">
        <f>Plan2!$G$3 + SUM(Tabela1[[#This Row],[EMOL CP]]:Tabela1[[#This Row],[OUTRAS CP]])</f>
        <v>93.03</v>
      </c>
      <c r="P20" s="6">
        <f>TRUNC(Tabela1[APLICAÇÃO] * 2  * Plan2!$A$3, 2)</f>
        <v>42.67</v>
      </c>
      <c r="Q20" s="6">
        <f>TRUNC(Tabela1[APLICAÇÃO] * 2  * Plan2!$B$3, 2)</f>
        <v>31.71</v>
      </c>
      <c r="R20" s="6">
        <f>TRUNC(Tabela1[APLICAÇÃO] * 2  * Plan2!$C$3, 2)</f>
        <v>80.16</v>
      </c>
      <c r="S20" s="6">
        <f>TRUNC(Plan2!$G$3  * Plan2!$H$3, 2)</f>
        <v>0.28999999999999998</v>
      </c>
      <c r="T20" s="6">
        <f>ROUND(Plan2!$G$3 * Plan2!$I$3, 2)</f>
        <v>0.57999999999999996</v>
      </c>
      <c r="U20" s="6">
        <f>Plan2!$G$3 + SUM(Tabela1[[#This Row],[EMOL VD]]:Tabela1[[#This Row],[OUTRAS VD]])</f>
        <v>170.31</v>
      </c>
      <c r="V20" s="6">
        <f>(((Tabela1[APLICAÇÃO] * 2) - Tabela1[TAXA VD]) - (Tabela1[APLICAÇÃO] + Tabela1[TAXA CP])) * 0.85</f>
        <v>48794.879000000001</v>
      </c>
      <c r="W20" s="14">
        <f>Tabela1[APLICAÇÃO] - (ROUND(Tabela1[RENDA FIXA] * 0.1,2))</f>
        <v>46014.81</v>
      </c>
      <c r="X20" s="4">
        <f>Tabela1[[#This Row],[PERDA MAX]]/Tabela1[[#This Row],[APLICAÇÃO]]</f>
        <v>0.79791128972406</v>
      </c>
      <c r="Y20" s="15">
        <f>IF(Tabela1[LUCRO] &lt; (Tabela1[RENDA FIXA]/2), 0.5, 0.8)</f>
        <v>0.5</v>
      </c>
      <c r="Z20" s="6">
        <f>IF(Tabela1[LUCRO] &lt; 0, 0, ROUND(Tabela1[LUCRO]*Tabela1[NO BOLSO], 2))</f>
        <v>24397.439999999999</v>
      </c>
      <c r="AA20" s="6">
        <f>Tabela1[LUCRO]-Tabela1[PROTEÇÃO MÊS]</f>
        <v>24397.439999999999</v>
      </c>
      <c r="AB20" s="6">
        <f>Tabela1[RENDA FIXA] + Tabela1[PROTEÇÃO MÊS] - Tabela1[APORTE RF]</f>
        <v>140940.18</v>
      </c>
      <c r="AC20" s="6">
        <f>Tabela1[TOT RF] + Tabela1[REINVESTIR] + Tabela1[APLICAÇÃO]</f>
        <v>223006.7</v>
      </c>
    </row>
    <row r="21" spans="1:29" x14ac:dyDescent="0.2">
      <c r="A21" s="1">
        <v>20</v>
      </c>
      <c r="B21" s="5">
        <v>41579</v>
      </c>
      <c r="C21" s="3">
        <v>140940.18</v>
      </c>
      <c r="D21" s="3"/>
      <c r="E21" s="3"/>
      <c r="F21" s="3">
        <v>69569.56</v>
      </c>
      <c r="G21" s="6">
        <f>142</f>
        <v>142</v>
      </c>
      <c r="H21" s="6">
        <f>SUMPRODUCT(N(Tabela1[TRADE] &lt;= Tabela1[[#This Row],[TRADE]]), Tabela1[APORTE]) + SUMPRODUCT(N(Tabela1[TRADE] &lt;= Tabela1[[#This Row],[TRADE]]), Tabela1[APORTE RF])</f>
        <v>3098</v>
      </c>
      <c r="I21" s="6">
        <f>Tabela1[MONTANTE] - SUMPRODUCT(N(Tabela1[TRADE] &lt;= Tabela1[[#This Row],[TRADE]]), Tabela1[SAQUE]) + SUMPRODUCT(N(Tabela1[TRADE] &lt; Tabela1[[#This Row],[TRADE]]), Tabela1[REINVESTIR])</f>
        <v>82208.52</v>
      </c>
      <c r="J21" s="6">
        <f>TRUNC(Tabela1[APLICAÇÃO]  * Plan2!$A$3, 2)</f>
        <v>30.41</v>
      </c>
      <c r="K21" s="6">
        <f>TRUNC(Tabela1[APLICAÇÃO]  * Plan2!$B$3, 2)</f>
        <v>22.6</v>
      </c>
      <c r="L21" s="6">
        <f>TRUNC(Tabela1[APLICAÇÃO]  * Plan2!$C$3, 2)</f>
        <v>57.13</v>
      </c>
      <c r="M21" s="6">
        <f>TRUNC(Plan2!$G$3  * Plan2!$H$3, 2)</f>
        <v>0.28999999999999998</v>
      </c>
      <c r="N21" s="6">
        <f>ROUND(Plan2!$G$3 * Plan2!$I$3, 2)</f>
        <v>0.57999999999999996</v>
      </c>
      <c r="O21" s="6">
        <f>Plan2!$G$3 + SUM(Tabela1[[#This Row],[EMOL CP]]:Tabela1[[#This Row],[OUTRAS CP]])</f>
        <v>125.91000000000003</v>
      </c>
      <c r="P21" s="6">
        <f>TRUNC(Tabela1[APLICAÇÃO] * 2  * Plan2!$A$3, 2)</f>
        <v>60.83</v>
      </c>
      <c r="Q21" s="6">
        <f>TRUNC(Tabela1[APLICAÇÃO] * 2  * Plan2!$B$3, 2)</f>
        <v>45.21</v>
      </c>
      <c r="R21" s="6">
        <f>TRUNC(Tabela1[APLICAÇÃO] * 2  * Plan2!$C$3, 2)</f>
        <v>114.26</v>
      </c>
      <c r="S21" s="6">
        <f>TRUNC(Plan2!$G$3  * Plan2!$H$3, 2)</f>
        <v>0.28999999999999998</v>
      </c>
      <c r="T21" s="6">
        <f>ROUND(Plan2!$G$3 * Plan2!$I$3, 2)</f>
        <v>0.57999999999999996</v>
      </c>
      <c r="U21" s="6">
        <f>Plan2!$G$3 + SUM(Tabela1[[#This Row],[EMOL VD]]:Tabela1[[#This Row],[OUTRAS VD]])</f>
        <v>236.07000000000002</v>
      </c>
      <c r="V21" s="6">
        <f>(((Tabela1[APLICAÇÃO] * 2) - Tabela1[TAXA VD]) - (Tabela1[APLICAÇÃO] + Tabela1[TAXA CP])) * 0.85</f>
        <v>69569.558999999994</v>
      </c>
      <c r="W21" s="14">
        <f>Tabela1[APLICAÇÃO] - (ROUND(Tabela1[RENDA FIXA] * 0.1,2))</f>
        <v>68114.5</v>
      </c>
      <c r="X21" s="4">
        <f>Tabela1[[#This Row],[PERDA MAX]]/Tabela1[[#This Row],[APLICAÇÃO]]</f>
        <v>0.82855767261106261</v>
      </c>
      <c r="Y21" s="15">
        <f>IF(Tabela1[LUCRO] &lt; (Tabela1[RENDA FIXA]/2), 0.5, 0.8)</f>
        <v>0.5</v>
      </c>
      <c r="Z21" s="6">
        <f>IF(Tabela1[LUCRO] &lt; 0, 0, ROUND(Tabela1[LUCRO]*Tabela1[NO BOLSO], 2))</f>
        <v>34784.78</v>
      </c>
      <c r="AA21" s="6">
        <f>Tabela1[LUCRO]-Tabela1[PROTEÇÃO MÊS]</f>
        <v>34784.78</v>
      </c>
      <c r="AB21" s="6">
        <f>Tabela1[RENDA FIXA] + Tabela1[PROTEÇÃO MÊS] - Tabela1[APORTE RF]</f>
        <v>175724.96</v>
      </c>
      <c r="AC21" s="6">
        <f>Tabela1[TOT RF] + Tabela1[REINVESTIR] + Tabela1[APLICAÇÃO]</f>
        <v>292718.26</v>
      </c>
    </row>
    <row r="22" spans="1:29" x14ac:dyDescent="0.2">
      <c r="A22" s="1">
        <v>21</v>
      </c>
      <c r="B22" s="5">
        <v>41609</v>
      </c>
      <c r="C22" s="3">
        <v>175724.96</v>
      </c>
      <c r="D22" s="3"/>
      <c r="E22" s="3"/>
      <c r="F22" s="3">
        <v>99137.97</v>
      </c>
      <c r="G22" s="6">
        <f>142</f>
        <v>142</v>
      </c>
      <c r="H22" s="6">
        <f>SUMPRODUCT(N(Tabela1[TRADE] &lt;= Tabela1[[#This Row],[TRADE]]), Tabela1[APORTE]) + SUMPRODUCT(N(Tabela1[TRADE] &lt;= Tabela1[[#This Row],[TRADE]]), Tabela1[APORTE RF])</f>
        <v>3240</v>
      </c>
      <c r="I22" s="6">
        <f>Tabela1[MONTANTE] - SUMPRODUCT(N(Tabela1[TRADE] &lt;= Tabela1[[#This Row],[TRADE]]), Tabela1[SAQUE]) + SUMPRODUCT(N(Tabela1[TRADE] &lt; Tabela1[[#This Row],[TRADE]]), Tabela1[REINVESTIR])</f>
        <v>117135.3</v>
      </c>
      <c r="J22" s="6">
        <f>TRUNC(Tabela1[APLICAÇÃO]  * Plan2!$A$3, 2)</f>
        <v>43.34</v>
      </c>
      <c r="K22" s="6">
        <f>TRUNC(Tabela1[APLICAÇÃO]  * Plan2!$B$3, 2)</f>
        <v>32.21</v>
      </c>
      <c r="L22" s="6">
        <f>TRUNC(Tabela1[APLICAÇÃO]  * Plan2!$C$3, 2)</f>
        <v>81.400000000000006</v>
      </c>
      <c r="M22" s="6">
        <f>TRUNC(Plan2!$G$3  * Plan2!$H$3, 2)</f>
        <v>0.28999999999999998</v>
      </c>
      <c r="N22" s="6">
        <f>ROUND(Plan2!$G$3 * Plan2!$I$3, 2)</f>
        <v>0.57999999999999996</v>
      </c>
      <c r="O22" s="6">
        <f>Plan2!$G$3 + SUM(Tabela1[[#This Row],[EMOL CP]]:Tabela1[[#This Row],[OUTRAS CP]])</f>
        <v>172.72000000000003</v>
      </c>
      <c r="P22" s="6">
        <f>TRUNC(Tabela1[APLICAÇÃO] * 2  * Plan2!$A$3, 2)</f>
        <v>86.68</v>
      </c>
      <c r="Q22" s="6">
        <f>TRUNC(Tabela1[APLICAÇÃO] * 2  * Plan2!$B$3, 2)</f>
        <v>64.42</v>
      </c>
      <c r="R22" s="6">
        <f>TRUNC(Tabela1[APLICAÇÃO] * 2  * Plan2!$C$3, 2)</f>
        <v>162.81</v>
      </c>
      <c r="S22" s="6">
        <f>TRUNC(Plan2!$G$3  * Plan2!$H$3, 2)</f>
        <v>0.28999999999999998</v>
      </c>
      <c r="T22" s="6">
        <f>ROUND(Plan2!$G$3 * Plan2!$I$3, 2)</f>
        <v>0.57999999999999996</v>
      </c>
      <c r="U22" s="6">
        <f>Plan2!$G$3 + SUM(Tabela1[[#This Row],[EMOL VD]]:Tabela1[[#This Row],[OUTRAS VD]])</f>
        <v>329.68</v>
      </c>
      <c r="V22" s="6">
        <f>(((Tabela1[APLICAÇÃO] * 2) - Tabela1[TAXA VD]) - (Tabela1[APLICAÇÃO] + Tabela1[TAXA CP])) * 0.85</f>
        <v>99137.965000000011</v>
      </c>
      <c r="W22" s="14">
        <f>Tabela1[APLICAÇÃO] - (ROUND(Tabela1[RENDA FIXA] * 0.1,2))</f>
        <v>99562.8</v>
      </c>
      <c r="X22" s="4">
        <f>Tabela1[[#This Row],[PERDA MAX]]/Tabela1[[#This Row],[APLICAÇÃO]]</f>
        <v>0.84998117561486586</v>
      </c>
      <c r="Y22" s="15">
        <f>IF(Tabela1[LUCRO] &lt; (Tabela1[RENDA FIXA]/2), 0.5, 0.8)</f>
        <v>0.8</v>
      </c>
      <c r="Z22" s="6">
        <f>IF(Tabela1[LUCRO] &lt; 0, 0, ROUND(Tabela1[LUCRO]*Tabela1[NO BOLSO], 2))</f>
        <v>79310.38</v>
      </c>
      <c r="AA22" s="6">
        <f>Tabela1[LUCRO]-Tabela1[PROTEÇÃO MÊS]</f>
        <v>19827.589999999997</v>
      </c>
      <c r="AB22" s="6">
        <f>Tabela1[RENDA FIXA] + Tabela1[PROTEÇÃO MÊS] - Tabela1[APORTE RF]</f>
        <v>255035.34</v>
      </c>
      <c r="AC22" s="6">
        <f>Tabela1[TOT RF] + Tabela1[REINVESTIR] + Tabela1[APLICAÇÃO]</f>
        <v>391998.23</v>
      </c>
    </row>
    <row r="23" spans="1:29" x14ac:dyDescent="0.2">
      <c r="A23" s="1">
        <v>22</v>
      </c>
      <c r="B23" s="5">
        <v>41640</v>
      </c>
      <c r="C23" s="3">
        <v>255035.34</v>
      </c>
      <c r="D23" s="3"/>
      <c r="E23" s="3"/>
      <c r="F23" s="3">
        <v>116043.9</v>
      </c>
      <c r="G23" s="6">
        <f>142</f>
        <v>142</v>
      </c>
      <c r="H23" s="6">
        <f>SUMPRODUCT(N(Tabela1[TRADE] &lt;= Tabela1[[#This Row],[TRADE]]), Tabela1[APORTE]) + SUMPRODUCT(N(Tabela1[TRADE] &lt;= Tabela1[[#This Row],[TRADE]]), Tabela1[APORTE RF])</f>
        <v>3382</v>
      </c>
      <c r="I23" s="6">
        <f>Tabela1[MONTANTE] - SUMPRODUCT(N(Tabela1[TRADE] &lt;= Tabela1[[#This Row],[TRADE]]), Tabela1[SAQUE]) + SUMPRODUCT(N(Tabela1[TRADE] &lt; Tabela1[[#This Row],[TRADE]]), Tabela1[REINVESTIR])</f>
        <v>137104.89000000001</v>
      </c>
      <c r="J23" s="6">
        <f>TRUNC(Tabela1[APLICAÇÃO]  * Plan2!$A$3, 2)</f>
        <v>50.72</v>
      </c>
      <c r="K23" s="6">
        <f>TRUNC(Tabela1[APLICAÇÃO]  * Plan2!$B$3, 2)</f>
        <v>37.700000000000003</v>
      </c>
      <c r="L23" s="6">
        <f>TRUNC(Tabela1[APLICAÇÃO]  * Plan2!$C$3, 2)</f>
        <v>95.28</v>
      </c>
      <c r="M23" s="6">
        <f>TRUNC(Plan2!$G$3  * Plan2!$H$3, 2)</f>
        <v>0.28999999999999998</v>
      </c>
      <c r="N23" s="6">
        <f>ROUND(Plan2!$G$3 * Plan2!$I$3, 2)</f>
        <v>0.57999999999999996</v>
      </c>
      <c r="O23" s="6">
        <f>Plan2!$G$3 + SUM(Tabela1[[#This Row],[EMOL CP]]:Tabela1[[#This Row],[OUTRAS CP]])</f>
        <v>199.47</v>
      </c>
      <c r="P23" s="6">
        <f>TRUNC(Tabela1[APLICAÇÃO] * 2  * Plan2!$A$3, 2)</f>
        <v>101.45</v>
      </c>
      <c r="Q23" s="6">
        <f>TRUNC(Tabela1[APLICAÇÃO] * 2  * Plan2!$B$3, 2)</f>
        <v>75.400000000000006</v>
      </c>
      <c r="R23" s="6">
        <f>TRUNC(Tabela1[APLICAÇÃO] * 2  * Plan2!$C$3, 2)</f>
        <v>190.57</v>
      </c>
      <c r="S23" s="6">
        <f>TRUNC(Plan2!$G$3  * Plan2!$H$3, 2)</f>
        <v>0.28999999999999998</v>
      </c>
      <c r="T23" s="6">
        <f>ROUND(Plan2!$G$3 * Plan2!$I$3, 2)</f>
        <v>0.57999999999999996</v>
      </c>
      <c r="U23" s="6">
        <f>Plan2!$G$3 + SUM(Tabela1[[#This Row],[EMOL VD]]:Tabela1[[#This Row],[OUTRAS VD]])</f>
        <v>383.19</v>
      </c>
      <c r="V23" s="6">
        <f>(((Tabela1[APLICAÇÃO] * 2) - Tabela1[TAXA VD]) - (Tabela1[APLICAÇÃO] + Tabela1[TAXA CP])) * 0.85</f>
        <v>116043.8955</v>
      </c>
      <c r="W23" s="14">
        <f>Tabela1[APLICAÇÃO] - (ROUND(Tabela1[RENDA FIXA] * 0.1,2))</f>
        <v>111601.36000000002</v>
      </c>
      <c r="X23" s="4">
        <f>Tabela1[[#This Row],[PERDA MAX]]/Tabela1[[#This Row],[APLICAÇÃO]]</f>
        <v>0.81398526339943089</v>
      </c>
      <c r="Y23" s="15">
        <f>IF(Tabela1[LUCRO] &lt; (Tabela1[RENDA FIXA]/2), 0.5, 0.8)</f>
        <v>0.5</v>
      </c>
      <c r="Z23" s="6">
        <f>IF(Tabela1[LUCRO] &lt; 0, 0, ROUND(Tabela1[LUCRO]*Tabela1[NO BOLSO], 2))</f>
        <v>58021.95</v>
      </c>
      <c r="AA23" s="6">
        <f>Tabela1[LUCRO]-Tabela1[PROTEÇÃO MÊS]</f>
        <v>58021.95</v>
      </c>
      <c r="AB23" s="6">
        <f>Tabela1[RENDA FIXA] + Tabela1[PROTEÇÃO MÊS] - Tabela1[APORTE RF]</f>
        <v>313057.28999999998</v>
      </c>
      <c r="AC23" s="6">
        <f>Tabela1[TOT RF] + Tabela1[REINVESTIR] + Tabela1[APLICAÇÃO]</f>
        <v>508184.13</v>
      </c>
    </row>
    <row r="24" spans="1:29" x14ac:dyDescent="0.2">
      <c r="A24" s="1">
        <v>23</v>
      </c>
      <c r="B24" s="5">
        <v>41671</v>
      </c>
      <c r="C24" s="3">
        <v>313057.28999999998</v>
      </c>
      <c r="D24" s="3"/>
      <c r="E24" s="3"/>
      <c r="F24" s="3">
        <v>165284.51</v>
      </c>
      <c r="G24" s="6">
        <f>142</f>
        <v>142</v>
      </c>
      <c r="H24" s="6">
        <f>SUMPRODUCT(N(Tabela1[TRADE] &lt;= Tabela1[[#This Row],[TRADE]]), Tabela1[APORTE]) + SUMPRODUCT(N(Tabela1[TRADE] &lt;= Tabela1[[#This Row],[TRADE]]), Tabela1[APORTE RF])</f>
        <v>3524</v>
      </c>
      <c r="I24" s="6">
        <f>Tabela1[MONTANTE] - SUMPRODUCT(N(Tabela1[TRADE] &lt;= Tabela1[[#This Row],[TRADE]]), Tabela1[SAQUE]) + SUMPRODUCT(N(Tabela1[TRADE] &lt; Tabela1[[#This Row],[TRADE]]), Tabela1[REINVESTIR])</f>
        <v>195268.84000000003</v>
      </c>
      <c r="J24" s="6">
        <f>TRUNC(Tabela1[APLICAÇÃO]  * Plan2!$A$3, 2)</f>
        <v>72.239999999999995</v>
      </c>
      <c r="K24" s="6">
        <f>TRUNC(Tabela1[APLICAÇÃO]  * Plan2!$B$3, 2)</f>
        <v>53.69</v>
      </c>
      <c r="L24" s="6">
        <f>TRUNC(Tabela1[APLICAÇÃO]  * Plan2!$C$3, 2)</f>
        <v>135.71</v>
      </c>
      <c r="M24" s="6">
        <f>TRUNC(Plan2!$G$3  * Plan2!$H$3, 2)</f>
        <v>0.28999999999999998</v>
      </c>
      <c r="N24" s="6">
        <f>ROUND(Plan2!$G$3 * Plan2!$I$3, 2)</f>
        <v>0.57999999999999996</v>
      </c>
      <c r="O24" s="6">
        <f>Plan2!$G$3 + SUM(Tabela1[[#This Row],[EMOL CP]]:Tabela1[[#This Row],[OUTRAS CP]])</f>
        <v>277.40999999999997</v>
      </c>
      <c r="P24" s="6">
        <f>TRUNC(Tabela1[APLICAÇÃO] * 2  * Plan2!$A$3, 2)</f>
        <v>144.49</v>
      </c>
      <c r="Q24" s="6">
        <f>TRUNC(Tabela1[APLICAÇÃO] * 2  * Plan2!$B$3, 2)</f>
        <v>107.39</v>
      </c>
      <c r="R24" s="6">
        <f>TRUNC(Tabela1[APLICAÇÃO] * 2  * Plan2!$C$3, 2)</f>
        <v>271.42</v>
      </c>
      <c r="S24" s="6">
        <f>TRUNC(Plan2!$G$3  * Plan2!$H$3, 2)</f>
        <v>0.28999999999999998</v>
      </c>
      <c r="T24" s="6">
        <f>ROUND(Plan2!$G$3 * Plan2!$I$3, 2)</f>
        <v>0.57999999999999996</v>
      </c>
      <c r="U24" s="6">
        <f>Plan2!$G$3 + SUM(Tabela1[[#This Row],[EMOL VD]]:Tabela1[[#This Row],[OUTRAS VD]])</f>
        <v>539.06999999999994</v>
      </c>
      <c r="V24" s="6">
        <f>(((Tabela1[APLICAÇÃO] * 2) - Tabela1[TAXA VD]) - (Tabela1[APLICAÇÃO] + Tabela1[TAXA CP])) * 0.85</f>
        <v>165284.50600000002</v>
      </c>
      <c r="W24" s="14">
        <f>Tabela1[APLICAÇÃO] - (ROUND(Tabela1[RENDA FIXA] * 0.1,2))</f>
        <v>163963.11000000002</v>
      </c>
      <c r="X24" s="4">
        <f>Tabela1[[#This Row],[PERDA MAX]]/Tabela1[[#This Row],[APLICAÇÃO]]</f>
        <v>0.83967882433264818</v>
      </c>
      <c r="Y24" s="15">
        <f>IF(Tabela1[LUCRO] &lt; (Tabela1[RENDA FIXA]/2), 0.5, 0.8)</f>
        <v>0.8</v>
      </c>
      <c r="Z24" s="6">
        <f>IF(Tabela1[LUCRO] &lt; 0, 0, ROUND(Tabela1[LUCRO]*Tabela1[NO BOLSO], 2))</f>
        <v>132227.60999999999</v>
      </c>
      <c r="AA24" s="6">
        <f>Tabela1[LUCRO]-Tabela1[PROTEÇÃO MÊS]</f>
        <v>33056.900000000023</v>
      </c>
      <c r="AB24" s="6">
        <f>Tabela1[RENDA FIXA] + Tabela1[PROTEÇÃO MÊS] - Tabela1[APORTE RF]</f>
        <v>445284.89999999997</v>
      </c>
      <c r="AC24" s="6">
        <f>Tabela1[TOT RF] + Tabela1[REINVESTIR] + Tabela1[APLICAÇÃO]</f>
        <v>673610.64</v>
      </c>
    </row>
    <row r="25" spans="1:29" x14ac:dyDescent="0.2">
      <c r="A25" s="1">
        <v>24</v>
      </c>
      <c r="B25" s="5">
        <v>41699</v>
      </c>
      <c r="C25" s="3">
        <v>445284.9</v>
      </c>
      <c r="D25" s="3"/>
      <c r="E25" s="3"/>
      <c r="F25" s="3">
        <v>193390.12</v>
      </c>
      <c r="G25" s="6">
        <f>142</f>
        <v>142</v>
      </c>
      <c r="H25" s="6">
        <f>SUMPRODUCT(N(Tabela1[TRADE] &lt;= Tabela1[[#This Row],[TRADE]]), Tabela1[APORTE]) + SUMPRODUCT(N(Tabela1[TRADE] &lt;= Tabela1[[#This Row],[TRADE]]), Tabela1[APORTE RF])</f>
        <v>3666</v>
      </c>
      <c r="I25" s="6">
        <f>Tabela1[MONTANTE] - SUMPRODUCT(N(Tabela1[TRADE] &lt;= Tabela1[[#This Row],[TRADE]]), Tabela1[SAQUE]) + SUMPRODUCT(N(Tabela1[TRADE] &lt; Tabela1[[#This Row],[TRADE]]), Tabela1[REINVESTIR])</f>
        <v>228467.74000000005</v>
      </c>
      <c r="J25" s="6">
        <f>TRUNC(Tabela1[APLICAÇÃO]  * Plan2!$A$3, 2)</f>
        <v>84.53</v>
      </c>
      <c r="K25" s="6">
        <f>TRUNC(Tabela1[APLICAÇÃO]  * Plan2!$B$3, 2)</f>
        <v>62.82</v>
      </c>
      <c r="L25" s="6">
        <f>TRUNC(Tabela1[APLICAÇÃO]  * Plan2!$C$3, 2)</f>
        <v>158.78</v>
      </c>
      <c r="M25" s="6">
        <f>TRUNC(Plan2!$G$3  * Plan2!$H$3, 2)</f>
        <v>0.28999999999999998</v>
      </c>
      <c r="N25" s="6">
        <f>ROUND(Plan2!$G$3 * Plan2!$I$3, 2)</f>
        <v>0.57999999999999996</v>
      </c>
      <c r="O25" s="6">
        <f>Plan2!$G$3 + SUM(Tabela1[[#This Row],[EMOL CP]]:Tabela1[[#This Row],[OUTRAS CP]])</f>
        <v>321.89999999999998</v>
      </c>
      <c r="P25" s="6">
        <f>TRUNC(Tabela1[APLICAÇÃO] * 2  * Plan2!$A$3, 2)</f>
        <v>169.06</v>
      </c>
      <c r="Q25" s="6">
        <f>TRUNC(Tabela1[APLICAÇÃO] * 2  * Plan2!$B$3, 2)</f>
        <v>125.65</v>
      </c>
      <c r="R25" s="6">
        <f>TRUNC(Tabela1[APLICAÇÃO] * 2  * Plan2!$C$3, 2)</f>
        <v>317.57</v>
      </c>
      <c r="S25" s="6">
        <f>TRUNC(Plan2!$G$3  * Plan2!$H$3, 2)</f>
        <v>0.28999999999999998</v>
      </c>
      <c r="T25" s="6">
        <f>ROUND(Plan2!$G$3 * Plan2!$I$3, 2)</f>
        <v>0.57999999999999996</v>
      </c>
      <c r="U25" s="6">
        <f>Plan2!$G$3 + SUM(Tabela1[[#This Row],[EMOL VD]]:Tabela1[[#This Row],[OUTRAS VD]])</f>
        <v>628.04999999999995</v>
      </c>
      <c r="V25" s="6">
        <f>(((Tabela1[APLICAÇÃO] * 2) - Tabela1[TAXA VD]) - (Tabela1[APLICAÇÃO] + Tabela1[TAXA CP])) * 0.85</f>
        <v>193390.12150000004</v>
      </c>
      <c r="W25" s="14">
        <f>Tabela1[APLICAÇÃO] - (ROUND(Tabela1[RENDA FIXA] * 0.1,2))</f>
        <v>183939.25000000006</v>
      </c>
      <c r="X25" s="4">
        <f>Tabela1[[#This Row],[PERDA MAX]]/Tabela1[[#This Row],[APLICAÇÃO]]</f>
        <v>0.80509944204814221</v>
      </c>
      <c r="Y25" s="15">
        <f>IF(Tabela1[LUCRO] &lt; (Tabela1[RENDA FIXA]/2), 0.5, 0.8)</f>
        <v>0.5</v>
      </c>
      <c r="Z25" s="6">
        <f>IF(Tabela1[LUCRO] &lt; 0, 0, ROUND(Tabela1[LUCRO]*Tabela1[NO BOLSO], 2))</f>
        <v>96695.06</v>
      </c>
      <c r="AA25" s="6">
        <f>Tabela1[LUCRO]-Tabela1[PROTEÇÃO MÊS]</f>
        <v>96695.06</v>
      </c>
      <c r="AB25" s="6">
        <f>Tabela1[RENDA FIXA] + Tabela1[PROTEÇÃO MÊS] - Tabela1[APORTE RF]</f>
        <v>541979.96</v>
      </c>
      <c r="AC25" s="6">
        <f>Tabela1[TOT RF] + Tabela1[REINVESTIR] + Tabela1[APLICAÇÃO]</f>
        <v>867142.76</v>
      </c>
    </row>
    <row r="26" spans="1:29" x14ac:dyDescent="0.2">
      <c r="A26" s="1">
        <v>25</v>
      </c>
      <c r="B26" s="5">
        <v>41730</v>
      </c>
      <c r="C26" s="3">
        <v>541979.96</v>
      </c>
      <c r="D26" s="3"/>
      <c r="E26" s="3"/>
      <c r="F26" s="3">
        <v>275370.73</v>
      </c>
      <c r="G26" s="6">
        <f>142</f>
        <v>142</v>
      </c>
      <c r="H26" s="6">
        <f>SUMPRODUCT(N(Tabela1[TRADE] &lt;= Tabela1[[#This Row],[TRADE]]), Tabela1[APORTE]) + SUMPRODUCT(N(Tabela1[TRADE] &lt;= Tabela1[[#This Row],[TRADE]]), Tabela1[APORTE RF])</f>
        <v>3808</v>
      </c>
      <c r="I26" s="6">
        <f>Tabela1[MONTANTE] - SUMPRODUCT(N(Tabela1[TRADE] &lt;= Tabela1[[#This Row],[TRADE]]), Tabela1[SAQUE]) + SUMPRODUCT(N(Tabela1[TRADE] &lt; Tabela1[[#This Row],[TRADE]]), Tabela1[REINVESTIR])</f>
        <v>325304.80000000005</v>
      </c>
      <c r="J26" s="6">
        <f>TRUNC(Tabela1[APLICAÇÃO]  * Plan2!$A$3, 2)</f>
        <v>120.36</v>
      </c>
      <c r="K26" s="6">
        <f>TRUNC(Tabela1[APLICAÇÃO]  * Plan2!$B$3, 2)</f>
        <v>89.45</v>
      </c>
      <c r="L26" s="6">
        <f>TRUNC(Tabela1[APLICAÇÃO]  * Plan2!$C$3, 2)</f>
        <v>226.08</v>
      </c>
      <c r="M26" s="6">
        <f>TRUNC(Plan2!$G$3  * Plan2!$H$3, 2)</f>
        <v>0.28999999999999998</v>
      </c>
      <c r="N26" s="6">
        <f>ROUND(Plan2!$G$3 * Plan2!$I$3, 2)</f>
        <v>0.57999999999999996</v>
      </c>
      <c r="O26" s="6">
        <f>Plan2!$G$3 + SUM(Tabela1[[#This Row],[EMOL CP]]:Tabela1[[#This Row],[OUTRAS CP]])</f>
        <v>451.65999999999997</v>
      </c>
      <c r="P26" s="6">
        <f>TRUNC(Tabela1[APLICAÇÃO] * 2  * Plan2!$A$3, 2)</f>
        <v>240.72</v>
      </c>
      <c r="Q26" s="6">
        <f>TRUNC(Tabela1[APLICAÇÃO] * 2  * Plan2!$B$3, 2)</f>
        <v>178.91</v>
      </c>
      <c r="R26" s="6">
        <f>TRUNC(Tabela1[APLICAÇÃO] * 2  * Plan2!$C$3, 2)</f>
        <v>452.17</v>
      </c>
      <c r="S26" s="6">
        <f>TRUNC(Plan2!$G$3  * Plan2!$H$3, 2)</f>
        <v>0.28999999999999998</v>
      </c>
      <c r="T26" s="6">
        <f>ROUND(Plan2!$G$3 * Plan2!$I$3, 2)</f>
        <v>0.57999999999999996</v>
      </c>
      <c r="U26" s="6">
        <f>Plan2!$G$3 + SUM(Tabela1[[#This Row],[EMOL VD]]:Tabela1[[#This Row],[OUTRAS VD]])</f>
        <v>887.56999999999994</v>
      </c>
      <c r="V26" s="6">
        <f>(((Tabela1[APLICAÇÃO] * 2) - Tabela1[TAXA VD]) - (Tabela1[APLICAÇÃO] + Tabela1[TAXA CP])) * 0.85</f>
        <v>275370.73450000008</v>
      </c>
      <c r="W26" s="14">
        <f>Tabela1[APLICAÇÃO] - (ROUND(Tabela1[RENDA FIXA] * 0.1,2))</f>
        <v>271106.80000000005</v>
      </c>
      <c r="X26" s="4">
        <f>Tabela1[[#This Row],[PERDA MAX]]/Tabela1[[#This Row],[APLICAÇÃO]]</f>
        <v>0.83339317464728468</v>
      </c>
      <c r="Y26" s="15">
        <f>IF(Tabela1[LUCRO] &lt; (Tabela1[RENDA FIXA]/2), 0.5, 0.8)</f>
        <v>0.8</v>
      </c>
      <c r="Z26" s="6">
        <f>IF(Tabela1[LUCRO] &lt; 0, 0, ROUND(Tabela1[LUCRO]*Tabela1[NO BOLSO], 2))</f>
        <v>220296.58</v>
      </c>
      <c r="AA26" s="6">
        <f>Tabela1[LUCRO]-Tabela1[PROTEÇÃO MÊS]</f>
        <v>55074.149999999994</v>
      </c>
      <c r="AB26" s="6">
        <f>Tabela1[RENDA FIXA] + Tabela1[PROTEÇÃO MÊS] - Tabela1[APORTE RF]</f>
        <v>762276.53999999992</v>
      </c>
      <c r="AC26" s="6">
        <f>Tabela1[TOT RF] + Tabela1[REINVESTIR] + Tabela1[APLICAÇÃO]</f>
        <v>1142655.49</v>
      </c>
    </row>
    <row r="27" spans="1:29" x14ac:dyDescent="0.2">
      <c r="A27" s="1">
        <v>26</v>
      </c>
      <c r="B27" s="5">
        <v>41760</v>
      </c>
      <c r="C27" s="3">
        <v>762276.54</v>
      </c>
      <c r="D27" s="3"/>
      <c r="E27" s="3"/>
      <c r="F27" s="3">
        <v>322115.78000000003</v>
      </c>
      <c r="G27" s="6">
        <f>142</f>
        <v>142</v>
      </c>
      <c r="H27" s="6">
        <f>SUMPRODUCT(N(Tabela1[TRADE] &lt;= Tabela1[[#This Row],[TRADE]]), Tabela1[APORTE]) + SUMPRODUCT(N(Tabela1[TRADE] &lt;= Tabela1[[#This Row],[TRADE]]), Tabela1[APORTE RF])</f>
        <v>3950</v>
      </c>
      <c r="I27" s="6">
        <f>Tabela1[MONTANTE] - SUMPRODUCT(N(Tabela1[TRADE] &lt;= Tabela1[[#This Row],[TRADE]]), Tabela1[SAQUE]) + SUMPRODUCT(N(Tabela1[TRADE] &lt; Tabela1[[#This Row],[TRADE]]), Tabela1[REINVESTIR])</f>
        <v>380520.95000000007</v>
      </c>
      <c r="J27" s="6">
        <f>TRUNC(Tabela1[APLICAÇÃO]  * Plan2!$A$3, 2)</f>
        <v>140.79</v>
      </c>
      <c r="K27" s="6">
        <f>TRUNC(Tabela1[APLICAÇÃO]  * Plan2!$B$3, 2)</f>
        <v>104.64</v>
      </c>
      <c r="L27" s="6">
        <f>TRUNC(Tabela1[APLICAÇÃO]  * Plan2!$C$3, 2)</f>
        <v>264.45999999999998</v>
      </c>
      <c r="M27" s="6">
        <f>TRUNC(Plan2!$G$3  * Plan2!$H$3, 2)</f>
        <v>0.28999999999999998</v>
      </c>
      <c r="N27" s="6">
        <f>ROUND(Plan2!$G$3 * Plan2!$I$3, 2)</f>
        <v>0.57999999999999996</v>
      </c>
      <c r="O27" s="6">
        <f>Plan2!$G$3 + SUM(Tabela1[[#This Row],[EMOL CP]]:Tabela1[[#This Row],[OUTRAS CP]])</f>
        <v>525.66</v>
      </c>
      <c r="P27" s="6">
        <f>TRUNC(Tabela1[APLICAÇÃO] * 2  * Plan2!$A$3, 2)</f>
        <v>281.58</v>
      </c>
      <c r="Q27" s="6">
        <f>TRUNC(Tabela1[APLICAÇÃO] * 2  * Plan2!$B$3, 2)</f>
        <v>209.28</v>
      </c>
      <c r="R27" s="6">
        <f>TRUNC(Tabela1[APLICAÇÃO] * 2  * Plan2!$C$3, 2)</f>
        <v>528.91999999999996</v>
      </c>
      <c r="S27" s="6">
        <f>TRUNC(Plan2!$G$3  * Plan2!$H$3, 2)</f>
        <v>0.28999999999999998</v>
      </c>
      <c r="T27" s="6">
        <f>ROUND(Plan2!$G$3 * Plan2!$I$3, 2)</f>
        <v>0.57999999999999996</v>
      </c>
      <c r="U27" s="6">
        <f>Plan2!$G$3 + SUM(Tabela1[[#This Row],[EMOL VD]]:Tabela1[[#This Row],[OUTRAS VD]])</f>
        <v>1035.55</v>
      </c>
      <c r="V27" s="6">
        <f>(((Tabela1[APLICAÇÃO] * 2) - Tabela1[TAXA VD]) - (Tabela1[APLICAÇÃO] + Tabela1[TAXA CP])) * 0.85</f>
        <v>322115.77900000004</v>
      </c>
      <c r="W27" s="14">
        <f>Tabela1[APLICAÇÃO] - (ROUND(Tabela1[RENDA FIXA] * 0.1,2))</f>
        <v>304293.30000000005</v>
      </c>
      <c r="X27" s="4">
        <f>Tabela1[[#This Row],[PERDA MAX]]/Tabela1[[#This Row],[APLICAÇÃO]]</f>
        <v>0.79967555005841329</v>
      </c>
      <c r="Y27" s="15">
        <f>IF(Tabela1[LUCRO] &lt; (Tabela1[RENDA FIXA]/2), 0.5, 0.8)</f>
        <v>0.5</v>
      </c>
      <c r="Z27" s="6">
        <f>IF(Tabela1[LUCRO] &lt; 0, 0, ROUND(Tabela1[LUCRO]*Tabela1[NO BOLSO], 2))</f>
        <v>161057.89000000001</v>
      </c>
      <c r="AA27" s="6">
        <f>Tabela1[LUCRO]-Tabela1[PROTEÇÃO MÊS]</f>
        <v>161057.89000000001</v>
      </c>
      <c r="AB27" s="6">
        <f>Tabela1[RENDA FIXA] + Tabela1[PROTEÇÃO MÊS] - Tabela1[APORTE RF]</f>
        <v>923334.43</v>
      </c>
      <c r="AC27" s="6">
        <f>Tabela1[TOT RF] + Tabela1[REINVESTIR] + Tabela1[APLICAÇÃO]</f>
        <v>1464913.27</v>
      </c>
    </row>
    <row r="28" spans="1:29" x14ac:dyDescent="0.2">
      <c r="A28" s="1">
        <v>27</v>
      </c>
      <c r="B28" s="5">
        <v>41791</v>
      </c>
      <c r="C28" s="3">
        <v>923334.43</v>
      </c>
      <c r="D28" s="3"/>
      <c r="E28" s="3"/>
      <c r="F28" s="3">
        <v>458584.87</v>
      </c>
      <c r="G28" s="6">
        <f>142</f>
        <v>142</v>
      </c>
      <c r="H28" s="6">
        <f>SUMPRODUCT(N(Tabela1[TRADE] &lt;= Tabela1[[#This Row],[TRADE]]), Tabela1[APORTE]) + SUMPRODUCT(N(Tabela1[TRADE] &lt;= Tabela1[[#This Row],[TRADE]]), Tabela1[APORTE RF])</f>
        <v>4092</v>
      </c>
      <c r="I28" s="6">
        <f>Tabela1[MONTANTE] - SUMPRODUCT(N(Tabela1[TRADE] &lt;= Tabela1[[#This Row],[TRADE]]), Tabela1[SAQUE]) + SUMPRODUCT(N(Tabela1[TRADE] &lt; Tabela1[[#This Row],[TRADE]]), Tabela1[REINVESTIR])</f>
        <v>541720.84000000008</v>
      </c>
      <c r="J28" s="6">
        <f>TRUNC(Tabela1[APLICAÇÃO]  * Plan2!$A$3, 2)</f>
        <v>200.43</v>
      </c>
      <c r="K28" s="6">
        <f>TRUNC(Tabela1[APLICAÇÃO]  * Plan2!$B$3, 2)</f>
        <v>148.97</v>
      </c>
      <c r="L28" s="6">
        <f>TRUNC(Tabela1[APLICAÇÃO]  * Plan2!$C$3, 2)</f>
        <v>376.49</v>
      </c>
      <c r="M28" s="6">
        <f>TRUNC(Plan2!$G$3  * Plan2!$H$3, 2)</f>
        <v>0.28999999999999998</v>
      </c>
      <c r="N28" s="6">
        <f>ROUND(Plan2!$G$3 * Plan2!$I$3, 2)</f>
        <v>0.57999999999999996</v>
      </c>
      <c r="O28" s="6">
        <f>Plan2!$G$3 + SUM(Tabela1[[#This Row],[EMOL CP]]:Tabela1[[#This Row],[OUTRAS CP]])</f>
        <v>741.66</v>
      </c>
      <c r="P28" s="6">
        <f>TRUNC(Tabela1[APLICAÇÃO] * 2  * Plan2!$A$3, 2)</f>
        <v>400.87</v>
      </c>
      <c r="Q28" s="6">
        <f>TRUNC(Tabela1[APLICAÇÃO] * 2  * Plan2!$B$3, 2)</f>
        <v>297.94</v>
      </c>
      <c r="R28" s="6">
        <f>TRUNC(Tabela1[APLICAÇÃO] * 2  * Plan2!$C$3, 2)</f>
        <v>752.99</v>
      </c>
      <c r="S28" s="6">
        <f>TRUNC(Plan2!$G$3  * Plan2!$H$3, 2)</f>
        <v>0.28999999999999998</v>
      </c>
      <c r="T28" s="6">
        <f>ROUND(Plan2!$G$3 * Plan2!$I$3, 2)</f>
        <v>0.57999999999999996</v>
      </c>
      <c r="U28" s="6">
        <f>Plan2!$G$3 + SUM(Tabela1[[#This Row],[EMOL VD]]:Tabela1[[#This Row],[OUTRAS VD]])</f>
        <v>1467.57</v>
      </c>
      <c r="V28" s="6">
        <f>(((Tabela1[APLICAÇÃO] * 2) - Tabela1[TAXA VD]) - (Tabela1[APLICAÇÃO] + Tabela1[TAXA CP])) * 0.85</f>
        <v>458584.86849999998</v>
      </c>
      <c r="W28" s="14">
        <f>Tabela1[APLICAÇÃO] - (ROUND(Tabela1[RENDA FIXA] * 0.1,2))</f>
        <v>449387.40000000008</v>
      </c>
      <c r="X28" s="4">
        <f>Tabela1[[#This Row],[PERDA MAX]]/Tabela1[[#This Row],[APLICAÇÃO]]</f>
        <v>0.82955531118204717</v>
      </c>
      <c r="Y28" s="15">
        <f>IF(Tabela1[LUCRO] &lt; (Tabela1[RENDA FIXA]/2), 0.5, 0.8)</f>
        <v>0.5</v>
      </c>
      <c r="Z28" s="6">
        <f>IF(Tabela1[LUCRO] &lt; 0, 0, ROUND(Tabela1[LUCRO]*Tabela1[NO BOLSO], 2))</f>
        <v>229292.44</v>
      </c>
      <c r="AA28" s="6">
        <f>Tabela1[LUCRO]-Tabela1[PROTEÇÃO MÊS]</f>
        <v>229292.43</v>
      </c>
      <c r="AB28" s="6">
        <f>Tabela1[RENDA FIXA] + Tabela1[PROTEÇÃO MÊS] - Tabela1[APORTE RF]</f>
        <v>1152626.8700000001</v>
      </c>
      <c r="AC28" s="6">
        <f>Tabela1[TOT RF] + Tabela1[REINVESTIR] + Tabela1[APLICAÇÃO]</f>
        <v>1923640.1400000001</v>
      </c>
    </row>
    <row r="29" spans="1:29" x14ac:dyDescent="0.2">
      <c r="A29" s="1" t="s">
        <v>37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0"/>
      <c r="X29" s="19"/>
      <c r="Z29" s="19"/>
      <c r="AA29" s="19"/>
      <c r="AB29" s="19"/>
      <c r="AC29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I3"/>
  <sheetViews>
    <sheetView workbookViewId="0">
      <selection activeCell="G5" sqref="G5"/>
    </sheetView>
  </sheetViews>
  <sheetFormatPr defaultRowHeight="11.25" x14ac:dyDescent="0.2"/>
  <cols>
    <col min="1" max="2" width="6.85546875" style="1" bestFit="1" customWidth="1"/>
    <col min="3" max="3" width="7.28515625" style="1" bestFit="1" customWidth="1"/>
    <col min="4" max="5" width="6.85546875" style="1" bestFit="1" customWidth="1"/>
    <col min="6" max="6" width="7.28515625" style="1" bestFit="1" customWidth="1"/>
    <col min="7" max="7" width="11.7109375" style="1" bestFit="1" customWidth="1"/>
    <col min="8" max="8" width="5.42578125" style="1" bestFit="1" customWidth="1"/>
    <col min="9" max="9" width="7.28515625" style="1" bestFit="1" customWidth="1"/>
    <col min="10" max="16384" width="9.140625" style="1"/>
  </cols>
  <sheetData>
    <row r="1" spans="1:9" x14ac:dyDescent="0.2">
      <c r="A1" s="16" t="s">
        <v>10</v>
      </c>
      <c r="B1" s="16"/>
      <c r="C1" s="16"/>
      <c r="D1" s="16" t="s">
        <v>11</v>
      </c>
      <c r="E1" s="16"/>
      <c r="F1" s="16"/>
      <c r="G1" s="17" t="s">
        <v>22</v>
      </c>
      <c r="H1" s="17" t="s">
        <v>18</v>
      </c>
      <c r="I1" s="17" t="s">
        <v>23</v>
      </c>
    </row>
    <row r="2" spans="1:9" x14ac:dyDescent="0.2">
      <c r="A2" s="7" t="s">
        <v>12</v>
      </c>
      <c r="B2" s="7" t="s">
        <v>13</v>
      </c>
      <c r="C2" s="7" t="s">
        <v>14</v>
      </c>
      <c r="D2" s="7" t="s">
        <v>12</v>
      </c>
      <c r="E2" s="7" t="s">
        <v>13</v>
      </c>
      <c r="F2" s="7" t="s">
        <v>14</v>
      </c>
      <c r="G2" s="17"/>
      <c r="H2" s="17"/>
      <c r="I2" s="17"/>
    </row>
    <row r="3" spans="1:9" x14ac:dyDescent="0.2">
      <c r="A3" s="8">
        <v>3.6999999999999999E-4</v>
      </c>
      <c r="B3" s="8">
        <v>2.7499999999999996E-4</v>
      </c>
      <c r="C3" s="8">
        <v>6.9499999999999998E-4</v>
      </c>
      <c r="D3" s="8">
        <v>1.2E-4</v>
      </c>
      <c r="E3" s="8">
        <v>1.8000000000000001E-4</v>
      </c>
      <c r="F3" s="8">
        <v>1.4999999999999999E-4</v>
      </c>
      <c r="G3" s="9">
        <v>14.9</v>
      </c>
      <c r="H3" s="10">
        <v>0.02</v>
      </c>
      <c r="I3" s="10">
        <v>3.9E-2</v>
      </c>
    </row>
  </sheetData>
  <mergeCells count="5">
    <mergeCell ref="A1:C1"/>
    <mergeCell ref="D1:F1"/>
    <mergeCell ref="G1:G2"/>
    <mergeCell ref="H1:H2"/>
    <mergeCell ref="I1:I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2012-03-16T22:49:23Z</dcterms:created>
  <dcterms:modified xsi:type="dcterms:W3CDTF">2012-04-21T23:12:50Z</dcterms:modified>
</cp:coreProperties>
</file>